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SERS_2016-11-01_12-58-05+01-00\zkratoch\Dokument\Akce 2025\02_FF Sedláčkova 15-CHODBY\01_doklady výběr\"/>
    </mc:Choice>
  </mc:AlternateContent>
  <xr:revisionPtr revIDLastSave="0" documentId="13_ncr:1_{F1902BE5-2670-4614-B63D-449EEBEB54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rycí list rozpočtu" sheetId="1" r:id="rId1"/>
    <sheet name="VORN" sheetId="2" r:id="rId2"/>
    <sheet name="Rozpočet - podskupiny" sheetId="3" r:id="rId3"/>
    <sheet name="Stavební rozpočet" sheetId="4" r:id="rId4"/>
    <sheet name="Výkaz výměr" sheetId="5" r:id="rId5"/>
    <sheet name="materiál" sheetId="6" r:id="rId6"/>
    <sheet name="montáž" sheetId="7" r:id="rId7"/>
  </sheets>
  <definedNames>
    <definedName name="vorn_sum">VORN!$I$36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7" l="1"/>
  <c r="G42" i="7"/>
  <c r="G41" i="7"/>
  <c r="G40" i="7"/>
  <c r="G39" i="7"/>
  <c r="G38" i="7"/>
  <c r="G34" i="7"/>
  <c r="G30" i="7"/>
  <c r="G26" i="7"/>
  <c r="G25" i="7"/>
  <c r="G21" i="7"/>
  <c r="G20" i="7"/>
  <c r="G19" i="7"/>
  <c r="G18" i="7"/>
  <c r="G14" i="7"/>
  <c r="G10" i="7"/>
  <c r="G9" i="7"/>
  <c r="G32" i="6"/>
  <c r="G31" i="6"/>
  <c r="G27" i="6"/>
  <c r="G26" i="6"/>
  <c r="G25" i="6"/>
  <c r="G21" i="6"/>
  <c r="G20" i="6"/>
  <c r="G19" i="6"/>
  <c r="G18" i="6"/>
  <c r="G14" i="6"/>
  <c r="G10" i="6"/>
  <c r="G9" i="6"/>
  <c r="G46" i="7" l="1"/>
  <c r="G35" i="6"/>
  <c r="G118" i="4" l="1"/>
  <c r="F8" i="5" l="1"/>
  <c r="C8" i="5"/>
  <c r="F6" i="5"/>
  <c r="C6" i="5"/>
  <c r="F4" i="5"/>
  <c r="C4" i="5"/>
  <c r="F2" i="5"/>
  <c r="C2" i="5"/>
  <c r="BJ118" i="4"/>
  <c r="BF118" i="4"/>
  <c r="BD118" i="4"/>
  <c r="AP118" i="4"/>
  <c r="BI118" i="4" s="1"/>
  <c r="AG118" i="4" s="1"/>
  <c r="AO118" i="4"/>
  <c r="AW118" i="4" s="1"/>
  <c r="AK118" i="4"/>
  <c r="AT117" i="4" s="1"/>
  <c r="AJ118" i="4"/>
  <c r="AS117" i="4" s="1"/>
  <c r="AH118" i="4"/>
  <c r="AE118" i="4"/>
  <c r="AD118" i="4"/>
  <c r="AC118" i="4"/>
  <c r="AB118" i="4"/>
  <c r="Z118" i="4"/>
  <c r="J118" i="4"/>
  <c r="AL118" i="4" s="1"/>
  <c r="AU117" i="4" s="1"/>
  <c r="BJ115" i="4"/>
  <c r="Z115" i="4" s="1"/>
  <c r="BI115" i="4"/>
  <c r="BF115" i="4"/>
  <c r="BD115" i="4"/>
  <c r="AP115" i="4"/>
  <c r="AX115" i="4" s="1"/>
  <c r="AO115" i="4"/>
  <c r="BH115" i="4" s="1"/>
  <c r="AL115" i="4"/>
  <c r="AK115" i="4"/>
  <c r="AJ115" i="4"/>
  <c r="AH115" i="4"/>
  <c r="AG115" i="4"/>
  <c r="AF115" i="4"/>
  <c r="AE115" i="4"/>
  <c r="AD115" i="4"/>
  <c r="AC115" i="4"/>
  <c r="AB115" i="4"/>
  <c r="J115" i="4"/>
  <c r="I115" i="4"/>
  <c r="BJ114" i="4"/>
  <c r="Z114" i="4" s="1"/>
  <c r="BH114" i="4"/>
  <c r="BF114" i="4"/>
  <c r="BD114" i="4"/>
  <c r="AX114" i="4"/>
  <c r="AP114" i="4"/>
  <c r="BI114" i="4" s="1"/>
  <c r="AO114" i="4"/>
  <c r="AW114" i="4" s="1"/>
  <c r="AK114" i="4"/>
  <c r="AJ114" i="4"/>
  <c r="AH114" i="4"/>
  <c r="AG114" i="4"/>
  <c r="AF114" i="4"/>
  <c r="AE114" i="4"/>
  <c r="AD114" i="4"/>
  <c r="AC114" i="4"/>
  <c r="AB114" i="4"/>
  <c r="J114" i="4"/>
  <c r="AL114" i="4" s="1"/>
  <c r="I114" i="4"/>
  <c r="H114" i="4"/>
  <c r="BJ113" i="4"/>
  <c r="BF113" i="4"/>
  <c r="BD113" i="4"/>
  <c r="AP113" i="4"/>
  <c r="AX113" i="4" s="1"/>
  <c r="AO113" i="4"/>
  <c r="H113" i="4" s="1"/>
  <c r="AL113" i="4"/>
  <c r="AK113" i="4"/>
  <c r="AJ113" i="4"/>
  <c r="AH113" i="4"/>
  <c r="AG113" i="4"/>
  <c r="AF113" i="4"/>
  <c r="AE113" i="4"/>
  <c r="AD113" i="4"/>
  <c r="AC113" i="4"/>
  <c r="AB113" i="4"/>
  <c r="Z113" i="4"/>
  <c r="J113" i="4"/>
  <c r="I113" i="4"/>
  <c r="BJ112" i="4"/>
  <c r="Z112" i="4" s="1"/>
  <c r="BF112" i="4"/>
  <c r="BD112" i="4"/>
  <c r="AP112" i="4"/>
  <c r="I112" i="4" s="1"/>
  <c r="AO112" i="4"/>
  <c r="AK112" i="4"/>
  <c r="AJ112" i="4"/>
  <c r="AH112" i="4"/>
  <c r="AG112" i="4"/>
  <c r="AF112" i="4"/>
  <c r="AE112" i="4"/>
  <c r="AD112" i="4"/>
  <c r="AC112" i="4"/>
  <c r="AB112" i="4"/>
  <c r="J112" i="4"/>
  <c r="AL112" i="4" s="1"/>
  <c r="BJ111" i="4"/>
  <c r="BF111" i="4"/>
  <c r="BD111" i="4"/>
  <c r="AP111" i="4"/>
  <c r="AO111" i="4"/>
  <c r="BH111" i="4" s="1"/>
  <c r="AL111" i="4"/>
  <c r="AK111" i="4"/>
  <c r="AJ111" i="4"/>
  <c r="AH111" i="4"/>
  <c r="AG111" i="4"/>
  <c r="AF111" i="4"/>
  <c r="AE111" i="4"/>
  <c r="AD111" i="4"/>
  <c r="AC111" i="4"/>
  <c r="AB111" i="4"/>
  <c r="Z111" i="4"/>
  <c r="J111" i="4"/>
  <c r="H111" i="4"/>
  <c r="BJ110" i="4"/>
  <c r="Z110" i="4" s="1"/>
  <c r="BI110" i="4"/>
  <c r="BF110" i="4"/>
  <c r="BD110" i="4"/>
  <c r="AX110" i="4"/>
  <c r="AP110" i="4"/>
  <c r="I110" i="4" s="1"/>
  <c r="AO110" i="4"/>
  <c r="H110" i="4" s="1"/>
  <c r="AK110" i="4"/>
  <c r="AJ110" i="4"/>
  <c r="AH110" i="4"/>
  <c r="AG110" i="4"/>
  <c r="AF110" i="4"/>
  <c r="AE110" i="4"/>
  <c r="AD110" i="4"/>
  <c r="AC110" i="4"/>
  <c r="AB110" i="4"/>
  <c r="J110" i="4"/>
  <c r="AL110" i="4" s="1"/>
  <c r="BJ109" i="4"/>
  <c r="BF109" i="4"/>
  <c r="BD109" i="4"/>
  <c r="AW109" i="4"/>
  <c r="AP109" i="4"/>
  <c r="I109" i="4" s="1"/>
  <c r="AO109" i="4"/>
  <c r="BH109" i="4" s="1"/>
  <c r="AB109" i="4" s="1"/>
  <c r="AK109" i="4"/>
  <c r="AJ109" i="4"/>
  <c r="AH109" i="4"/>
  <c r="AG109" i="4"/>
  <c r="AF109" i="4"/>
  <c r="AE109" i="4"/>
  <c r="AD109" i="4"/>
  <c r="Z109" i="4"/>
  <c r="J109" i="4"/>
  <c r="AL109" i="4" s="1"/>
  <c r="H109" i="4"/>
  <c r="BJ108" i="4"/>
  <c r="Z108" i="4" s="1"/>
  <c r="BF108" i="4"/>
  <c r="BD108" i="4"/>
  <c r="AX108" i="4"/>
  <c r="AP108" i="4"/>
  <c r="I108" i="4" s="1"/>
  <c r="AO108" i="4"/>
  <c r="AW108" i="4" s="1"/>
  <c r="AK108" i="4"/>
  <c r="AJ108" i="4"/>
  <c r="AH108" i="4"/>
  <c r="AG108" i="4"/>
  <c r="AF108" i="4"/>
  <c r="AE108" i="4"/>
  <c r="AD108" i="4"/>
  <c r="AC108" i="4"/>
  <c r="AB108" i="4"/>
  <c r="J108" i="4"/>
  <c r="AL108" i="4" s="1"/>
  <c r="BJ107" i="4"/>
  <c r="BH107" i="4"/>
  <c r="BF107" i="4"/>
  <c r="BD107" i="4"/>
  <c r="AW107" i="4"/>
  <c r="BC107" i="4" s="1"/>
  <c r="AP107" i="4"/>
  <c r="AX107" i="4" s="1"/>
  <c r="AO107" i="4"/>
  <c r="AK107" i="4"/>
  <c r="AJ107" i="4"/>
  <c r="AH107" i="4"/>
  <c r="AG107" i="4"/>
  <c r="AF107" i="4"/>
  <c r="AE107" i="4"/>
  <c r="AD107" i="4"/>
  <c r="AB107" i="4"/>
  <c r="Z107" i="4"/>
  <c r="J107" i="4"/>
  <c r="AL107" i="4" s="1"/>
  <c r="H107" i="4"/>
  <c r="BJ106" i="4"/>
  <c r="BF106" i="4"/>
  <c r="BD106" i="4"/>
  <c r="AP106" i="4"/>
  <c r="BI106" i="4" s="1"/>
  <c r="AC106" i="4" s="1"/>
  <c r="AO106" i="4"/>
  <c r="AK106" i="4"/>
  <c r="AJ106" i="4"/>
  <c r="AH106" i="4"/>
  <c r="AG106" i="4"/>
  <c r="AF106" i="4"/>
  <c r="AE106" i="4"/>
  <c r="AD106" i="4"/>
  <c r="Z106" i="4"/>
  <c r="J106" i="4"/>
  <c r="I106" i="4"/>
  <c r="BJ105" i="4"/>
  <c r="BF105" i="4"/>
  <c r="BD105" i="4"/>
  <c r="AW105" i="4"/>
  <c r="AP105" i="4"/>
  <c r="AO105" i="4"/>
  <c r="BH105" i="4" s="1"/>
  <c r="AB105" i="4" s="1"/>
  <c r="AK105" i="4"/>
  <c r="AJ105" i="4"/>
  <c r="AH105" i="4"/>
  <c r="AG105" i="4"/>
  <c r="AF105" i="4"/>
  <c r="AE105" i="4"/>
  <c r="AD105" i="4"/>
  <c r="Z105" i="4"/>
  <c r="J105" i="4"/>
  <c r="AL105" i="4" s="1"/>
  <c r="BJ104" i="4"/>
  <c r="BF104" i="4"/>
  <c r="BD104" i="4"/>
  <c r="AP104" i="4"/>
  <c r="BI104" i="4" s="1"/>
  <c r="AC104" i="4" s="1"/>
  <c r="AO104" i="4"/>
  <c r="AW104" i="4" s="1"/>
  <c r="AL104" i="4"/>
  <c r="AK104" i="4"/>
  <c r="AJ104" i="4"/>
  <c r="AH104" i="4"/>
  <c r="AG104" i="4"/>
  <c r="AF104" i="4"/>
  <c r="AE104" i="4"/>
  <c r="AD104" i="4"/>
  <c r="Z104" i="4"/>
  <c r="J104" i="4"/>
  <c r="H104" i="4"/>
  <c r="BJ102" i="4"/>
  <c r="Z102" i="4" s="1"/>
  <c r="BI102" i="4"/>
  <c r="BF102" i="4"/>
  <c r="BD102" i="4"/>
  <c r="AW102" i="4"/>
  <c r="AP102" i="4"/>
  <c r="AX102" i="4" s="1"/>
  <c r="AO102" i="4"/>
  <c r="H102" i="4" s="1"/>
  <c r="AK102" i="4"/>
  <c r="AJ102" i="4"/>
  <c r="AH102" i="4"/>
  <c r="AG102" i="4"/>
  <c r="AF102" i="4"/>
  <c r="AE102" i="4"/>
  <c r="AD102" i="4"/>
  <c r="AC102" i="4"/>
  <c r="AB102" i="4"/>
  <c r="J102" i="4"/>
  <c r="AL102" i="4" s="1"/>
  <c r="BJ101" i="4"/>
  <c r="BF101" i="4"/>
  <c r="BD101" i="4"/>
  <c r="AP101" i="4"/>
  <c r="I101" i="4" s="1"/>
  <c r="AO101" i="4"/>
  <c r="AW101" i="4" s="1"/>
  <c r="AK101" i="4"/>
  <c r="AT99" i="4" s="1"/>
  <c r="AJ101" i="4"/>
  <c r="AH101" i="4"/>
  <c r="AG101" i="4"/>
  <c r="AF101" i="4"/>
  <c r="AE101" i="4"/>
  <c r="AD101" i="4"/>
  <c r="Z101" i="4"/>
  <c r="J101" i="4"/>
  <c r="AL101" i="4" s="1"/>
  <c r="BJ100" i="4"/>
  <c r="BH100" i="4"/>
  <c r="AB100" i="4" s="1"/>
  <c r="BF100" i="4"/>
  <c r="BD100" i="4"/>
  <c r="AP100" i="4"/>
  <c r="AX100" i="4" s="1"/>
  <c r="AO100" i="4"/>
  <c r="AW100" i="4" s="1"/>
  <c r="AK100" i="4"/>
  <c r="AJ100" i="4"/>
  <c r="AH100" i="4"/>
  <c r="AG100" i="4"/>
  <c r="AF100" i="4"/>
  <c r="AE100" i="4"/>
  <c r="AD100" i="4"/>
  <c r="Z100" i="4"/>
  <c r="J100" i="4"/>
  <c r="AL100" i="4" s="1"/>
  <c r="AU99" i="4" s="1"/>
  <c r="I100" i="4"/>
  <c r="BJ98" i="4"/>
  <c r="BI98" i="4"/>
  <c r="AC98" i="4" s="1"/>
  <c r="BF98" i="4"/>
  <c r="BD98" i="4"/>
  <c r="AX98" i="4"/>
  <c r="AP98" i="4"/>
  <c r="AO98" i="4"/>
  <c r="AK98" i="4"/>
  <c r="AT97" i="4" s="1"/>
  <c r="AJ98" i="4"/>
  <c r="AS97" i="4" s="1"/>
  <c r="AH98" i="4"/>
  <c r="AG98" i="4"/>
  <c r="AF98" i="4"/>
  <c r="AE98" i="4"/>
  <c r="AD98" i="4"/>
  <c r="Z98" i="4"/>
  <c r="J98" i="4"/>
  <c r="AL98" i="4" s="1"/>
  <c r="AU97" i="4" s="1"/>
  <c r="I98" i="4"/>
  <c r="I97" i="4" s="1"/>
  <c r="K24" i="3" s="1"/>
  <c r="BJ96" i="4"/>
  <c r="BF96" i="4"/>
  <c r="BD96" i="4"/>
  <c r="AP96" i="4"/>
  <c r="AO96" i="4"/>
  <c r="BH96" i="4" s="1"/>
  <c r="AD96" i="4" s="1"/>
  <c r="AK96" i="4"/>
  <c r="AJ96" i="4"/>
  <c r="AH96" i="4"/>
  <c r="AG96" i="4"/>
  <c r="AF96" i="4"/>
  <c r="AC96" i="4"/>
  <c r="AB96" i="4"/>
  <c r="Z96" i="4"/>
  <c r="J96" i="4"/>
  <c r="AL96" i="4" s="1"/>
  <c r="BJ95" i="4"/>
  <c r="BH95" i="4"/>
  <c r="AD95" i="4" s="1"/>
  <c r="BF95" i="4"/>
  <c r="BD95" i="4"/>
  <c r="AX95" i="4"/>
  <c r="AP95" i="4"/>
  <c r="BI95" i="4" s="1"/>
  <c r="AE95" i="4" s="1"/>
  <c r="AO95" i="4"/>
  <c r="AW95" i="4" s="1"/>
  <c r="AK95" i="4"/>
  <c r="AJ95" i="4"/>
  <c r="AH95" i="4"/>
  <c r="AG95" i="4"/>
  <c r="AF95" i="4"/>
  <c r="AC95" i="4"/>
  <c r="AB95" i="4"/>
  <c r="Z95" i="4"/>
  <c r="J95" i="4"/>
  <c r="AL95" i="4" s="1"/>
  <c r="I95" i="4"/>
  <c r="H95" i="4"/>
  <c r="BJ94" i="4"/>
  <c r="BF94" i="4"/>
  <c r="BD94" i="4"/>
  <c r="AP94" i="4"/>
  <c r="AX94" i="4" s="1"/>
  <c r="AO94" i="4"/>
  <c r="H94" i="4" s="1"/>
  <c r="AK94" i="4"/>
  <c r="AJ94" i="4"/>
  <c r="AH94" i="4"/>
  <c r="AG94" i="4"/>
  <c r="AF94" i="4"/>
  <c r="AC94" i="4"/>
  <c r="AB94" i="4"/>
  <c r="Z94" i="4"/>
  <c r="J94" i="4"/>
  <c r="AL94" i="4" s="1"/>
  <c r="BJ93" i="4"/>
  <c r="BF93" i="4"/>
  <c r="BD93" i="4"/>
  <c r="AX93" i="4"/>
  <c r="AP93" i="4"/>
  <c r="I93" i="4" s="1"/>
  <c r="AO93" i="4"/>
  <c r="AW93" i="4" s="1"/>
  <c r="AK93" i="4"/>
  <c r="AJ93" i="4"/>
  <c r="AH93" i="4"/>
  <c r="AG93" i="4"/>
  <c r="AF93" i="4"/>
  <c r="AC93" i="4"/>
  <c r="AB93" i="4"/>
  <c r="Z93" i="4"/>
  <c r="J93" i="4"/>
  <c r="AL93" i="4" s="1"/>
  <c r="H93" i="4"/>
  <c r="BJ92" i="4"/>
  <c r="BF92" i="4"/>
  <c r="BD92" i="4"/>
  <c r="BC92" i="4"/>
  <c r="AP92" i="4"/>
  <c r="AX92" i="4" s="1"/>
  <c r="AO92" i="4"/>
  <c r="AW92" i="4" s="1"/>
  <c r="AV92" i="4" s="1"/>
  <c r="AK92" i="4"/>
  <c r="AJ92" i="4"/>
  <c r="AH92" i="4"/>
  <c r="AG92" i="4"/>
  <c r="AF92" i="4"/>
  <c r="AC92" i="4"/>
  <c r="AB92" i="4"/>
  <c r="Z92" i="4"/>
  <c r="J92" i="4"/>
  <c r="AL92" i="4" s="1"/>
  <c r="I92" i="4"/>
  <c r="H92" i="4"/>
  <c r="BJ91" i="4"/>
  <c r="BF91" i="4"/>
  <c r="BD91" i="4"/>
  <c r="AP91" i="4"/>
  <c r="AX91" i="4" s="1"/>
  <c r="AO91" i="4"/>
  <c r="AK91" i="4"/>
  <c r="AJ91" i="4"/>
  <c r="AH91" i="4"/>
  <c r="AG91" i="4"/>
  <c r="AF91" i="4"/>
  <c r="AC91" i="4"/>
  <c r="AB91" i="4"/>
  <c r="Z91" i="4"/>
  <c r="J91" i="4"/>
  <c r="AL91" i="4" s="1"/>
  <c r="BJ89" i="4"/>
  <c r="BF89" i="4"/>
  <c r="BD89" i="4"/>
  <c r="AP89" i="4"/>
  <c r="AO89" i="4"/>
  <c r="AW89" i="4" s="1"/>
  <c r="AK89" i="4"/>
  <c r="AJ89" i="4"/>
  <c r="AH89" i="4"/>
  <c r="AG89" i="4"/>
  <c r="AF89" i="4"/>
  <c r="AC89" i="4"/>
  <c r="AB89" i="4"/>
  <c r="Z89" i="4"/>
  <c r="J89" i="4"/>
  <c r="AL89" i="4" s="1"/>
  <c r="BJ88" i="4"/>
  <c r="BF88" i="4"/>
  <c r="BD88" i="4"/>
  <c r="AP88" i="4"/>
  <c r="AX88" i="4" s="1"/>
  <c r="AO88" i="4"/>
  <c r="BH88" i="4" s="1"/>
  <c r="AD88" i="4" s="1"/>
  <c r="AL88" i="4"/>
  <c r="AK88" i="4"/>
  <c r="AJ88" i="4"/>
  <c r="AH88" i="4"/>
  <c r="AG88" i="4"/>
  <c r="AF88" i="4"/>
  <c r="AC88" i="4"/>
  <c r="AB88" i="4"/>
  <c r="Z88" i="4"/>
  <c r="J88" i="4"/>
  <c r="I88" i="4"/>
  <c r="H88" i="4"/>
  <c r="BJ87" i="4"/>
  <c r="BI87" i="4"/>
  <c r="AE87" i="4" s="1"/>
  <c r="BF87" i="4"/>
  <c r="BD87" i="4"/>
  <c r="AP87" i="4"/>
  <c r="AX87" i="4" s="1"/>
  <c r="AO87" i="4"/>
  <c r="H87" i="4" s="1"/>
  <c r="AK87" i="4"/>
  <c r="AJ87" i="4"/>
  <c r="AH87" i="4"/>
  <c r="AG87" i="4"/>
  <c r="AF87" i="4"/>
  <c r="AC87" i="4"/>
  <c r="AB87" i="4"/>
  <c r="Z87" i="4"/>
  <c r="J87" i="4"/>
  <c r="AL87" i="4" s="1"/>
  <c r="BJ86" i="4"/>
  <c r="BF86" i="4"/>
  <c r="BD86" i="4"/>
  <c r="AX86" i="4"/>
  <c r="AP86" i="4"/>
  <c r="I86" i="4" s="1"/>
  <c r="AO86" i="4"/>
  <c r="AW86" i="4" s="1"/>
  <c r="AK86" i="4"/>
  <c r="AJ86" i="4"/>
  <c r="AH86" i="4"/>
  <c r="AG86" i="4"/>
  <c r="AF86" i="4"/>
  <c r="AC86" i="4"/>
  <c r="AB86" i="4"/>
  <c r="Z86" i="4"/>
  <c r="J86" i="4"/>
  <c r="AL86" i="4" s="1"/>
  <c r="BJ85" i="4"/>
  <c r="BH85" i="4"/>
  <c r="AD85" i="4" s="1"/>
  <c r="BF85" i="4"/>
  <c r="BD85" i="4"/>
  <c r="AP85" i="4"/>
  <c r="AX85" i="4" s="1"/>
  <c r="BC85" i="4" s="1"/>
  <c r="AO85" i="4"/>
  <c r="AW85" i="4" s="1"/>
  <c r="AK85" i="4"/>
  <c r="AJ85" i="4"/>
  <c r="AH85" i="4"/>
  <c r="AG85" i="4"/>
  <c r="AF85" i="4"/>
  <c r="AC85" i="4"/>
  <c r="AB85" i="4"/>
  <c r="Z85" i="4"/>
  <c r="J85" i="4"/>
  <c r="AL85" i="4" s="1"/>
  <c r="I85" i="4"/>
  <c r="H85" i="4"/>
  <c r="BJ84" i="4"/>
  <c r="BI84" i="4"/>
  <c r="AE84" i="4" s="1"/>
  <c r="BF84" i="4"/>
  <c r="BD84" i="4"/>
  <c r="AP84" i="4"/>
  <c r="AX84" i="4" s="1"/>
  <c r="AO84" i="4"/>
  <c r="AK84" i="4"/>
  <c r="AJ84" i="4"/>
  <c r="AH84" i="4"/>
  <c r="AG84" i="4"/>
  <c r="AF84" i="4"/>
  <c r="AC84" i="4"/>
  <c r="AB84" i="4"/>
  <c r="Z84" i="4"/>
  <c r="J84" i="4"/>
  <c r="AL84" i="4" s="1"/>
  <c r="I84" i="4"/>
  <c r="BJ82" i="4"/>
  <c r="BF82" i="4"/>
  <c r="BD82" i="4"/>
  <c r="AP82" i="4"/>
  <c r="AO82" i="4"/>
  <c r="AW82" i="4" s="1"/>
  <c r="AK82" i="4"/>
  <c r="AJ82" i="4"/>
  <c r="AH82" i="4"/>
  <c r="AG82" i="4"/>
  <c r="AF82" i="4"/>
  <c r="AE82" i="4"/>
  <c r="AD82" i="4"/>
  <c r="AC82" i="4"/>
  <c r="AB82" i="4"/>
  <c r="Z82" i="4"/>
  <c r="J82" i="4"/>
  <c r="AL82" i="4" s="1"/>
  <c r="H82" i="4"/>
  <c r="BJ81" i="4"/>
  <c r="BH81" i="4"/>
  <c r="AD81" i="4" s="1"/>
  <c r="BF81" i="4"/>
  <c r="BD81" i="4"/>
  <c r="AW81" i="4"/>
  <c r="AP81" i="4"/>
  <c r="AX81" i="4" s="1"/>
  <c r="BC81" i="4" s="1"/>
  <c r="AO81" i="4"/>
  <c r="AK81" i="4"/>
  <c r="AJ81" i="4"/>
  <c r="AH81" i="4"/>
  <c r="AG81" i="4"/>
  <c r="AF81" i="4"/>
  <c r="AC81" i="4"/>
  <c r="AB81" i="4"/>
  <c r="Z81" i="4"/>
  <c r="J81" i="4"/>
  <c r="AL81" i="4" s="1"/>
  <c r="I81" i="4"/>
  <c r="H81" i="4"/>
  <c r="BJ80" i="4"/>
  <c r="BF80" i="4"/>
  <c r="BD80" i="4"/>
  <c r="AW80" i="4"/>
  <c r="AP80" i="4"/>
  <c r="AX80" i="4" s="1"/>
  <c r="AO80" i="4"/>
  <c r="H80" i="4" s="1"/>
  <c r="AK80" i="4"/>
  <c r="AJ80" i="4"/>
  <c r="AH80" i="4"/>
  <c r="AG80" i="4"/>
  <c r="AF80" i="4"/>
  <c r="AC80" i="4"/>
  <c r="AB80" i="4"/>
  <c r="Z80" i="4"/>
  <c r="J80" i="4"/>
  <c r="AL80" i="4" s="1"/>
  <c r="BJ79" i="4"/>
  <c r="BF79" i="4"/>
  <c r="BD79" i="4"/>
  <c r="AP79" i="4"/>
  <c r="I79" i="4" s="1"/>
  <c r="AO79" i="4"/>
  <c r="AW79" i="4" s="1"/>
  <c r="AK79" i="4"/>
  <c r="AJ79" i="4"/>
  <c r="AH79" i="4"/>
  <c r="AG79" i="4"/>
  <c r="AF79" i="4"/>
  <c r="AC79" i="4"/>
  <c r="AB79" i="4"/>
  <c r="Z79" i="4"/>
  <c r="J79" i="4"/>
  <c r="AL79" i="4" s="1"/>
  <c r="BJ78" i="4"/>
  <c r="BF78" i="4"/>
  <c r="BD78" i="4"/>
  <c r="AP78" i="4"/>
  <c r="AX78" i="4" s="1"/>
  <c r="AO78" i="4"/>
  <c r="BH78" i="4" s="1"/>
  <c r="AD78" i="4" s="1"/>
  <c r="AL78" i="4"/>
  <c r="AK78" i="4"/>
  <c r="AJ78" i="4"/>
  <c r="AH78" i="4"/>
  <c r="AG78" i="4"/>
  <c r="AF78" i="4"/>
  <c r="AC78" i="4"/>
  <c r="AB78" i="4"/>
  <c r="Z78" i="4"/>
  <c r="J78" i="4"/>
  <c r="J76" i="4" s="1"/>
  <c r="L21" i="3" s="1"/>
  <c r="N21" i="3" s="1"/>
  <c r="I78" i="4"/>
  <c r="BJ77" i="4"/>
  <c r="BI77" i="4"/>
  <c r="AE77" i="4" s="1"/>
  <c r="BF77" i="4"/>
  <c r="BD77" i="4"/>
  <c r="AP77" i="4"/>
  <c r="AX77" i="4" s="1"/>
  <c r="AO77" i="4"/>
  <c r="AK77" i="4"/>
  <c r="AJ77" i="4"/>
  <c r="AH77" i="4"/>
  <c r="AG77" i="4"/>
  <c r="AF77" i="4"/>
  <c r="AC77" i="4"/>
  <c r="AB77" i="4"/>
  <c r="Z77" i="4"/>
  <c r="J77" i="4"/>
  <c r="AL77" i="4" s="1"/>
  <c r="BJ75" i="4"/>
  <c r="BF75" i="4"/>
  <c r="BD75" i="4"/>
  <c r="AP75" i="4"/>
  <c r="AO75" i="4"/>
  <c r="AW75" i="4" s="1"/>
  <c r="AK75" i="4"/>
  <c r="AJ75" i="4"/>
  <c r="AH75" i="4"/>
  <c r="AG75" i="4"/>
  <c r="AF75" i="4"/>
  <c r="AE75" i="4"/>
  <c r="AD75" i="4"/>
  <c r="AC75" i="4"/>
  <c r="AB75" i="4"/>
  <c r="Z75" i="4"/>
  <c r="J75" i="4"/>
  <c r="AL75" i="4" s="1"/>
  <c r="H75" i="4"/>
  <c r="BJ74" i="4"/>
  <c r="BH74" i="4"/>
  <c r="AD74" i="4" s="1"/>
  <c r="BF74" i="4"/>
  <c r="BD74" i="4"/>
  <c r="AP74" i="4"/>
  <c r="AX74" i="4" s="1"/>
  <c r="AO74" i="4"/>
  <c r="AW74" i="4" s="1"/>
  <c r="AL74" i="4"/>
  <c r="AK74" i="4"/>
  <c r="AJ74" i="4"/>
  <c r="AH74" i="4"/>
  <c r="AG74" i="4"/>
  <c r="AF74" i="4"/>
  <c r="AC74" i="4"/>
  <c r="AB74" i="4"/>
  <c r="Z74" i="4"/>
  <c r="J74" i="4"/>
  <c r="I74" i="4"/>
  <c r="H74" i="4"/>
  <c r="BJ73" i="4"/>
  <c r="BF73" i="4"/>
  <c r="BD73" i="4"/>
  <c r="AP73" i="4"/>
  <c r="AX73" i="4" s="1"/>
  <c r="AO73" i="4"/>
  <c r="H73" i="4" s="1"/>
  <c r="AK73" i="4"/>
  <c r="AJ73" i="4"/>
  <c r="AH73" i="4"/>
  <c r="AG73" i="4"/>
  <c r="AF73" i="4"/>
  <c r="AC73" i="4"/>
  <c r="AB73" i="4"/>
  <c r="Z73" i="4"/>
  <c r="J73" i="4"/>
  <c r="AL73" i="4" s="1"/>
  <c r="I73" i="4"/>
  <c r="BJ72" i="4"/>
  <c r="BF72" i="4"/>
  <c r="BD72" i="4"/>
  <c r="AX72" i="4"/>
  <c r="AP72" i="4"/>
  <c r="I72" i="4" s="1"/>
  <c r="AO72" i="4"/>
  <c r="AW72" i="4" s="1"/>
  <c r="AK72" i="4"/>
  <c r="AJ72" i="4"/>
  <c r="AH72" i="4"/>
  <c r="AG72" i="4"/>
  <c r="AF72" i="4"/>
  <c r="AC72" i="4"/>
  <c r="AB72" i="4"/>
  <c r="Z72" i="4"/>
  <c r="J72" i="4"/>
  <c r="AL72" i="4" s="1"/>
  <c r="H72" i="4"/>
  <c r="BJ71" i="4"/>
  <c r="BH71" i="4"/>
  <c r="AD71" i="4" s="1"/>
  <c r="BF71" i="4"/>
  <c r="BD71" i="4"/>
  <c r="AP71" i="4"/>
  <c r="AX71" i="4" s="1"/>
  <c r="AO71" i="4"/>
  <c r="H71" i="4" s="1"/>
  <c r="AK71" i="4"/>
  <c r="AJ71" i="4"/>
  <c r="AH71" i="4"/>
  <c r="AG71" i="4"/>
  <c r="AF71" i="4"/>
  <c r="AC71" i="4"/>
  <c r="AB71" i="4"/>
  <c r="Z71" i="4"/>
  <c r="J71" i="4"/>
  <c r="AL71" i="4" s="1"/>
  <c r="I71" i="4"/>
  <c r="BJ70" i="4"/>
  <c r="BF70" i="4"/>
  <c r="BD70" i="4"/>
  <c r="AP70" i="4"/>
  <c r="I70" i="4" s="1"/>
  <c r="AO70" i="4"/>
  <c r="AK70" i="4"/>
  <c r="AJ70" i="4"/>
  <c r="AH70" i="4"/>
  <c r="AG70" i="4"/>
  <c r="AF70" i="4"/>
  <c r="AC70" i="4"/>
  <c r="AB70" i="4"/>
  <c r="Z70" i="4"/>
  <c r="J70" i="4"/>
  <c r="BJ69" i="4"/>
  <c r="BH69" i="4"/>
  <c r="AD69" i="4" s="1"/>
  <c r="BF69" i="4"/>
  <c r="BD69" i="4"/>
  <c r="AP69" i="4"/>
  <c r="AO69" i="4"/>
  <c r="AW69" i="4" s="1"/>
  <c r="AK69" i="4"/>
  <c r="AJ69" i="4"/>
  <c r="AH69" i="4"/>
  <c r="AG69" i="4"/>
  <c r="AF69" i="4"/>
  <c r="AC69" i="4"/>
  <c r="AB69" i="4"/>
  <c r="Z69" i="4"/>
  <c r="J69" i="4"/>
  <c r="AL69" i="4" s="1"/>
  <c r="H69" i="4"/>
  <c r="BJ68" i="4"/>
  <c r="BF68" i="4"/>
  <c r="BD68" i="4"/>
  <c r="AW68" i="4"/>
  <c r="AP68" i="4"/>
  <c r="I68" i="4" s="1"/>
  <c r="AO68" i="4"/>
  <c r="BH68" i="4" s="1"/>
  <c r="AD68" i="4" s="1"/>
  <c r="AK68" i="4"/>
  <c r="AJ68" i="4"/>
  <c r="AH68" i="4"/>
  <c r="AG68" i="4"/>
  <c r="AF68" i="4"/>
  <c r="AC68" i="4"/>
  <c r="AB68" i="4"/>
  <c r="Z68" i="4"/>
  <c r="J68" i="4"/>
  <c r="AL68" i="4" s="1"/>
  <c r="H68" i="4"/>
  <c r="BJ67" i="4"/>
  <c r="BF67" i="4"/>
  <c r="BD67" i="4"/>
  <c r="AP67" i="4"/>
  <c r="BI67" i="4" s="1"/>
  <c r="AE67" i="4" s="1"/>
  <c r="AO67" i="4"/>
  <c r="H67" i="4" s="1"/>
  <c r="AK67" i="4"/>
  <c r="AT66" i="4" s="1"/>
  <c r="AJ67" i="4"/>
  <c r="AH67" i="4"/>
  <c r="AG67" i="4"/>
  <c r="AF67" i="4"/>
  <c r="AC67" i="4"/>
  <c r="AB67" i="4"/>
  <c r="Z67" i="4"/>
  <c r="J67" i="4"/>
  <c r="AL67" i="4" s="1"/>
  <c r="I67" i="4"/>
  <c r="BJ65" i="4"/>
  <c r="Z65" i="4" s="1"/>
  <c r="BF65" i="4"/>
  <c r="BD65" i="4"/>
  <c r="AX65" i="4"/>
  <c r="AP65" i="4"/>
  <c r="I65" i="4" s="1"/>
  <c r="AO65" i="4"/>
  <c r="AW65" i="4" s="1"/>
  <c r="AK65" i="4"/>
  <c r="AJ65" i="4"/>
  <c r="AH65" i="4"/>
  <c r="AG65" i="4"/>
  <c r="AF65" i="4"/>
  <c r="AE65" i="4"/>
  <c r="AD65" i="4"/>
  <c r="AC65" i="4"/>
  <c r="AB65" i="4"/>
  <c r="J65" i="4"/>
  <c r="AL65" i="4" s="1"/>
  <c r="H65" i="4"/>
  <c r="BJ64" i="4"/>
  <c r="BF64" i="4"/>
  <c r="BD64" i="4"/>
  <c r="AP64" i="4"/>
  <c r="AX64" i="4" s="1"/>
  <c r="AO64" i="4"/>
  <c r="AW64" i="4" s="1"/>
  <c r="AL64" i="4"/>
  <c r="AK64" i="4"/>
  <c r="AJ64" i="4"/>
  <c r="AH64" i="4"/>
  <c r="AE64" i="4"/>
  <c r="AD64" i="4"/>
  <c r="AC64" i="4"/>
  <c r="AB64" i="4"/>
  <c r="Z64" i="4"/>
  <c r="J64" i="4"/>
  <c r="I64" i="4"/>
  <c r="H64" i="4"/>
  <c r="BJ63" i="4"/>
  <c r="BF63" i="4"/>
  <c r="BD63" i="4"/>
  <c r="AP63" i="4"/>
  <c r="AX63" i="4" s="1"/>
  <c r="AO63" i="4"/>
  <c r="AK63" i="4"/>
  <c r="AJ63" i="4"/>
  <c r="AH63" i="4"/>
  <c r="AG63" i="4"/>
  <c r="AF63" i="4"/>
  <c r="AE63" i="4"/>
  <c r="AD63" i="4"/>
  <c r="AC63" i="4"/>
  <c r="AB63" i="4"/>
  <c r="Z63" i="4"/>
  <c r="J63" i="4"/>
  <c r="AL63" i="4" s="1"/>
  <c r="BJ62" i="4"/>
  <c r="BF62" i="4"/>
  <c r="BD62" i="4"/>
  <c r="AP62" i="4"/>
  <c r="AO62" i="4"/>
  <c r="AW62" i="4" s="1"/>
  <c r="AK62" i="4"/>
  <c r="AJ62" i="4"/>
  <c r="AH62" i="4"/>
  <c r="AG62" i="4"/>
  <c r="AF62" i="4"/>
  <c r="AC62" i="4"/>
  <c r="AB62" i="4"/>
  <c r="Z62" i="4"/>
  <c r="J62" i="4"/>
  <c r="AL62" i="4" s="1"/>
  <c r="H62" i="4"/>
  <c r="BJ61" i="4"/>
  <c r="BF61" i="4"/>
  <c r="BD61" i="4"/>
  <c r="AP61" i="4"/>
  <c r="AX61" i="4" s="1"/>
  <c r="AO61" i="4"/>
  <c r="AW61" i="4" s="1"/>
  <c r="AV61" i="4" s="1"/>
  <c r="AL61" i="4"/>
  <c r="AK61" i="4"/>
  <c r="AJ61" i="4"/>
  <c r="AH61" i="4"/>
  <c r="AG61" i="4"/>
  <c r="AF61" i="4"/>
  <c r="AC61" i="4"/>
  <c r="AB61" i="4"/>
  <c r="Z61" i="4"/>
  <c r="J61" i="4"/>
  <c r="H61" i="4"/>
  <c r="BJ60" i="4"/>
  <c r="BI60" i="4"/>
  <c r="AE60" i="4" s="1"/>
  <c r="BF60" i="4"/>
  <c r="BD60" i="4"/>
  <c r="AW60" i="4"/>
  <c r="AP60" i="4"/>
  <c r="AX60" i="4" s="1"/>
  <c r="AO60" i="4"/>
  <c r="H60" i="4" s="1"/>
  <c r="AK60" i="4"/>
  <c r="AJ60" i="4"/>
  <c r="AH60" i="4"/>
  <c r="AG60" i="4"/>
  <c r="AF60" i="4"/>
  <c r="AC60" i="4"/>
  <c r="AB60" i="4"/>
  <c r="Z60" i="4"/>
  <c r="J60" i="4"/>
  <c r="AL60" i="4" s="1"/>
  <c r="I60" i="4"/>
  <c r="BJ59" i="4"/>
  <c r="BF59" i="4"/>
  <c r="BD59" i="4"/>
  <c r="AX59" i="4"/>
  <c r="AP59" i="4"/>
  <c r="BI59" i="4" s="1"/>
  <c r="AE59" i="4" s="1"/>
  <c r="AO59" i="4"/>
  <c r="AW59" i="4" s="1"/>
  <c r="AL59" i="4"/>
  <c r="AK59" i="4"/>
  <c r="AJ59" i="4"/>
  <c r="AH59" i="4"/>
  <c r="AG59" i="4"/>
  <c r="AF59" i="4"/>
  <c r="AC59" i="4"/>
  <c r="AB59" i="4"/>
  <c r="Z59" i="4"/>
  <c r="J59" i="4"/>
  <c r="I59" i="4"/>
  <c r="H59" i="4"/>
  <c r="BJ58" i="4"/>
  <c r="BF58" i="4"/>
  <c r="BD58" i="4"/>
  <c r="AP58" i="4"/>
  <c r="AX58" i="4" s="1"/>
  <c r="AO58" i="4"/>
  <c r="AK58" i="4"/>
  <c r="AJ58" i="4"/>
  <c r="AH58" i="4"/>
  <c r="AG58" i="4"/>
  <c r="AF58" i="4"/>
  <c r="AC58" i="4"/>
  <c r="AB58" i="4"/>
  <c r="Z58" i="4"/>
  <c r="J58" i="4"/>
  <c r="AL58" i="4" s="1"/>
  <c r="I58" i="4"/>
  <c r="BJ57" i="4"/>
  <c r="BF57" i="4"/>
  <c r="BD57" i="4"/>
  <c r="AP57" i="4"/>
  <c r="AX57" i="4" s="1"/>
  <c r="AO57" i="4"/>
  <c r="AK57" i="4"/>
  <c r="AJ57" i="4"/>
  <c r="AH57" i="4"/>
  <c r="AG57" i="4"/>
  <c r="AF57" i="4"/>
  <c r="AC57" i="4"/>
  <c r="AB57" i="4"/>
  <c r="Z57" i="4"/>
  <c r="J57" i="4"/>
  <c r="AL57" i="4" s="1"/>
  <c r="I57" i="4"/>
  <c r="BJ56" i="4"/>
  <c r="BF56" i="4"/>
  <c r="BD56" i="4"/>
  <c r="AX56" i="4"/>
  <c r="AP56" i="4"/>
  <c r="I56" i="4" s="1"/>
  <c r="AO56" i="4"/>
  <c r="AK56" i="4"/>
  <c r="AT55" i="4" s="1"/>
  <c r="AJ56" i="4"/>
  <c r="AS55" i="4" s="1"/>
  <c r="AH56" i="4"/>
  <c r="AG56" i="4"/>
  <c r="AF56" i="4"/>
  <c r="AC56" i="4"/>
  <c r="AB56" i="4"/>
  <c r="Z56" i="4"/>
  <c r="J56" i="4"/>
  <c r="AL56" i="4" s="1"/>
  <c r="BJ54" i="4"/>
  <c r="Z54" i="4" s="1"/>
  <c r="BH54" i="4"/>
  <c r="BF54" i="4"/>
  <c r="BD54" i="4"/>
  <c r="AP54" i="4"/>
  <c r="AO54" i="4"/>
  <c r="AW54" i="4" s="1"/>
  <c r="AL54" i="4"/>
  <c r="AK54" i="4"/>
  <c r="AJ54" i="4"/>
  <c r="AH54" i="4"/>
  <c r="AG54" i="4"/>
  <c r="AF54" i="4"/>
  <c r="AE54" i="4"/>
  <c r="AD54" i="4"/>
  <c r="AC54" i="4"/>
  <c r="AB54" i="4"/>
  <c r="J54" i="4"/>
  <c r="H54" i="4"/>
  <c r="BJ53" i="4"/>
  <c r="BF53" i="4"/>
  <c r="BD53" i="4"/>
  <c r="AP53" i="4"/>
  <c r="AX53" i="4" s="1"/>
  <c r="AO53" i="4"/>
  <c r="BH53" i="4" s="1"/>
  <c r="AD53" i="4" s="1"/>
  <c r="AK53" i="4"/>
  <c r="AJ53" i="4"/>
  <c r="AH53" i="4"/>
  <c r="AG53" i="4"/>
  <c r="AF53" i="4"/>
  <c r="AC53" i="4"/>
  <c r="AB53" i="4"/>
  <c r="Z53" i="4"/>
  <c r="J53" i="4"/>
  <c r="AL53" i="4" s="1"/>
  <c r="I53" i="4"/>
  <c r="BJ52" i="4"/>
  <c r="BI52" i="4"/>
  <c r="AE52" i="4" s="1"/>
  <c r="BF52" i="4"/>
  <c r="BD52" i="4"/>
  <c r="AP52" i="4"/>
  <c r="AO52" i="4"/>
  <c r="BH52" i="4" s="1"/>
  <c r="AD52" i="4" s="1"/>
  <c r="AK52" i="4"/>
  <c r="AJ52" i="4"/>
  <c r="AH52" i="4"/>
  <c r="AG52" i="4"/>
  <c r="AF52" i="4"/>
  <c r="AC52" i="4"/>
  <c r="AB52" i="4"/>
  <c r="Z52" i="4"/>
  <c r="J52" i="4"/>
  <c r="AL52" i="4" s="1"/>
  <c r="H52" i="4"/>
  <c r="BJ51" i="4"/>
  <c r="BF51" i="4"/>
  <c r="BD51" i="4"/>
  <c r="AP51" i="4"/>
  <c r="BI51" i="4" s="1"/>
  <c r="AE51" i="4" s="1"/>
  <c r="AO51" i="4"/>
  <c r="AW51" i="4" s="1"/>
  <c r="AK51" i="4"/>
  <c r="AJ51" i="4"/>
  <c r="AH51" i="4"/>
  <c r="AG51" i="4"/>
  <c r="AF51" i="4"/>
  <c r="AC51" i="4"/>
  <c r="AB51" i="4"/>
  <c r="Z51" i="4"/>
  <c r="J51" i="4"/>
  <c r="AL51" i="4" s="1"/>
  <c r="H51" i="4"/>
  <c r="BJ50" i="4"/>
  <c r="BI50" i="4"/>
  <c r="AE50" i="4" s="1"/>
  <c r="BF50" i="4"/>
  <c r="BD50" i="4"/>
  <c r="AP50" i="4"/>
  <c r="AX50" i="4" s="1"/>
  <c r="AO50" i="4"/>
  <c r="H50" i="4" s="1"/>
  <c r="AL50" i="4"/>
  <c r="AK50" i="4"/>
  <c r="AJ50" i="4"/>
  <c r="AH50" i="4"/>
  <c r="AG50" i="4"/>
  <c r="AF50" i="4"/>
  <c r="AC50" i="4"/>
  <c r="AB50" i="4"/>
  <c r="Z50" i="4"/>
  <c r="J50" i="4"/>
  <c r="I50" i="4"/>
  <c r="BJ49" i="4"/>
  <c r="BF49" i="4"/>
  <c r="BD49" i="4"/>
  <c r="AP49" i="4"/>
  <c r="I49" i="4" s="1"/>
  <c r="AO49" i="4"/>
  <c r="AW49" i="4" s="1"/>
  <c r="AK49" i="4"/>
  <c r="AJ49" i="4"/>
  <c r="AH49" i="4"/>
  <c r="AG49" i="4"/>
  <c r="AF49" i="4"/>
  <c r="AC49" i="4"/>
  <c r="AB49" i="4"/>
  <c r="Z49" i="4"/>
  <c r="J49" i="4"/>
  <c r="AL49" i="4" s="1"/>
  <c r="BJ48" i="4"/>
  <c r="BH48" i="4"/>
  <c r="AD48" i="4" s="1"/>
  <c r="BF48" i="4"/>
  <c r="BD48" i="4"/>
  <c r="AW48" i="4"/>
  <c r="AV48" i="4" s="1"/>
  <c r="AP48" i="4"/>
  <c r="AX48" i="4" s="1"/>
  <c r="AO48" i="4"/>
  <c r="AK48" i="4"/>
  <c r="AJ48" i="4"/>
  <c r="AH48" i="4"/>
  <c r="AG48" i="4"/>
  <c r="AF48" i="4"/>
  <c r="AC48" i="4"/>
  <c r="AB48" i="4"/>
  <c r="Z48" i="4"/>
  <c r="J48" i="4"/>
  <c r="AL48" i="4" s="1"/>
  <c r="I48" i="4"/>
  <c r="H48" i="4"/>
  <c r="BJ47" i="4"/>
  <c r="BF47" i="4"/>
  <c r="BD47" i="4"/>
  <c r="AP47" i="4"/>
  <c r="I47" i="4" s="1"/>
  <c r="AO47" i="4"/>
  <c r="AW47" i="4" s="1"/>
  <c r="AK47" i="4"/>
  <c r="AJ47" i="4"/>
  <c r="AH47" i="4"/>
  <c r="AG47" i="4"/>
  <c r="AF47" i="4"/>
  <c r="AC47" i="4"/>
  <c r="AB47" i="4"/>
  <c r="Z47" i="4"/>
  <c r="J47" i="4"/>
  <c r="AL47" i="4" s="1"/>
  <c r="BJ46" i="4"/>
  <c r="BI46" i="4"/>
  <c r="BF46" i="4"/>
  <c r="BD46" i="4"/>
  <c r="AP46" i="4"/>
  <c r="AX46" i="4" s="1"/>
  <c r="AO46" i="4"/>
  <c r="BH46" i="4" s="1"/>
  <c r="AD46" i="4" s="1"/>
  <c r="AK46" i="4"/>
  <c r="AJ46" i="4"/>
  <c r="AH46" i="4"/>
  <c r="AG46" i="4"/>
  <c r="AF46" i="4"/>
  <c r="AE46" i="4"/>
  <c r="AC46" i="4"/>
  <c r="AB46" i="4"/>
  <c r="Z46" i="4"/>
  <c r="J46" i="4"/>
  <c r="AL46" i="4" s="1"/>
  <c r="I46" i="4"/>
  <c r="BJ45" i="4"/>
  <c r="BF45" i="4"/>
  <c r="BD45" i="4"/>
  <c r="AP45" i="4"/>
  <c r="BI45" i="4" s="1"/>
  <c r="AE45" i="4" s="1"/>
  <c r="AO45" i="4"/>
  <c r="AW45" i="4" s="1"/>
  <c r="AK45" i="4"/>
  <c r="AJ45" i="4"/>
  <c r="AH45" i="4"/>
  <c r="AG45" i="4"/>
  <c r="AF45" i="4"/>
  <c r="AC45" i="4"/>
  <c r="AB45" i="4"/>
  <c r="Z45" i="4"/>
  <c r="J45" i="4"/>
  <c r="AL45" i="4" s="1"/>
  <c r="H45" i="4"/>
  <c r="BJ44" i="4"/>
  <c r="BF44" i="4"/>
  <c r="BD44" i="4"/>
  <c r="AW44" i="4"/>
  <c r="BC44" i="4" s="1"/>
  <c r="AP44" i="4"/>
  <c r="AX44" i="4" s="1"/>
  <c r="AO44" i="4"/>
  <c r="H44" i="4" s="1"/>
  <c r="AK44" i="4"/>
  <c r="AJ44" i="4"/>
  <c r="AH44" i="4"/>
  <c r="AG44" i="4"/>
  <c r="AF44" i="4"/>
  <c r="AC44" i="4"/>
  <c r="AB44" i="4"/>
  <c r="Z44" i="4"/>
  <c r="J44" i="4"/>
  <c r="AL44" i="4" s="1"/>
  <c r="BJ43" i="4"/>
  <c r="BF43" i="4"/>
  <c r="BD43" i="4"/>
  <c r="AP43" i="4"/>
  <c r="I43" i="4" s="1"/>
  <c r="AO43" i="4"/>
  <c r="AW43" i="4" s="1"/>
  <c r="AK43" i="4"/>
  <c r="AJ43" i="4"/>
  <c r="AH43" i="4"/>
  <c r="AG43" i="4"/>
  <c r="AF43" i="4"/>
  <c r="AC43" i="4"/>
  <c r="AB43" i="4"/>
  <c r="Z43" i="4"/>
  <c r="J43" i="4"/>
  <c r="AL43" i="4" s="1"/>
  <c r="BJ42" i="4"/>
  <c r="BH42" i="4"/>
  <c r="AD42" i="4" s="1"/>
  <c r="BF42" i="4"/>
  <c r="BD42" i="4"/>
  <c r="AW42" i="4"/>
  <c r="AP42" i="4"/>
  <c r="AX42" i="4" s="1"/>
  <c r="AO42" i="4"/>
  <c r="AK42" i="4"/>
  <c r="AJ42" i="4"/>
  <c r="AH42" i="4"/>
  <c r="AG42" i="4"/>
  <c r="AF42" i="4"/>
  <c r="AC42" i="4"/>
  <c r="AB42" i="4"/>
  <c r="Z42" i="4"/>
  <c r="J42" i="4"/>
  <c r="AL42" i="4" s="1"/>
  <c r="H42" i="4"/>
  <c r="BJ41" i="4"/>
  <c r="BF41" i="4"/>
  <c r="BD41" i="4"/>
  <c r="AX41" i="4"/>
  <c r="AP41" i="4"/>
  <c r="BI41" i="4" s="1"/>
  <c r="AE41" i="4" s="1"/>
  <c r="AO41" i="4"/>
  <c r="AW41" i="4" s="1"/>
  <c r="AK41" i="4"/>
  <c r="AT40" i="4" s="1"/>
  <c r="AJ41" i="4"/>
  <c r="AH41" i="4"/>
  <c r="AG41" i="4"/>
  <c r="AF41" i="4"/>
  <c r="AC41" i="4"/>
  <c r="AB41" i="4"/>
  <c r="Z41" i="4"/>
  <c r="J41" i="4"/>
  <c r="AL41" i="4" s="1"/>
  <c r="I41" i="4"/>
  <c r="BJ39" i="4"/>
  <c r="Z39" i="4" s="1"/>
  <c r="BI39" i="4"/>
  <c r="BF39" i="4"/>
  <c r="BD39" i="4"/>
  <c r="AP39" i="4"/>
  <c r="AX39" i="4" s="1"/>
  <c r="AO39" i="4"/>
  <c r="BH39" i="4" s="1"/>
  <c r="AK39" i="4"/>
  <c r="AJ39" i="4"/>
  <c r="AH39" i="4"/>
  <c r="AG39" i="4"/>
  <c r="AF39" i="4"/>
  <c r="AE39" i="4"/>
  <c r="AD39" i="4"/>
  <c r="AC39" i="4"/>
  <c r="AB39" i="4"/>
  <c r="J39" i="4"/>
  <c r="AL39" i="4" s="1"/>
  <c r="I39" i="4"/>
  <c r="H39" i="4"/>
  <c r="BJ38" i="4"/>
  <c r="BF38" i="4"/>
  <c r="BD38" i="4"/>
  <c r="AP38" i="4"/>
  <c r="BI38" i="4" s="1"/>
  <c r="AE38" i="4" s="1"/>
  <c r="AO38" i="4"/>
  <c r="AW38" i="4" s="1"/>
  <c r="AK38" i="4"/>
  <c r="AJ38" i="4"/>
  <c r="AH38" i="4"/>
  <c r="AG38" i="4"/>
  <c r="AF38" i="4"/>
  <c r="AC38" i="4"/>
  <c r="AB38" i="4"/>
  <c r="Z38" i="4"/>
  <c r="J38" i="4"/>
  <c r="AL38" i="4" s="1"/>
  <c r="H38" i="4"/>
  <c r="BJ37" i="4"/>
  <c r="BF37" i="4"/>
  <c r="BD37" i="4"/>
  <c r="AW37" i="4"/>
  <c r="AV37" i="4" s="1"/>
  <c r="AP37" i="4"/>
  <c r="AX37" i="4" s="1"/>
  <c r="AO37" i="4"/>
  <c r="H37" i="4" s="1"/>
  <c r="AK37" i="4"/>
  <c r="AJ37" i="4"/>
  <c r="AH37" i="4"/>
  <c r="AG37" i="4"/>
  <c r="AF37" i="4"/>
  <c r="AC37" i="4"/>
  <c r="AB37" i="4"/>
  <c r="Z37" i="4"/>
  <c r="J37" i="4"/>
  <c r="AL37" i="4" s="1"/>
  <c r="I37" i="4"/>
  <c r="BJ36" i="4"/>
  <c r="BF36" i="4"/>
  <c r="BD36" i="4"/>
  <c r="AP36" i="4"/>
  <c r="I36" i="4" s="1"/>
  <c r="AO36" i="4"/>
  <c r="AW36" i="4" s="1"/>
  <c r="AK36" i="4"/>
  <c r="AJ36" i="4"/>
  <c r="AH36" i="4"/>
  <c r="AG36" i="4"/>
  <c r="AF36" i="4"/>
  <c r="AC36" i="4"/>
  <c r="AB36" i="4"/>
  <c r="Z36" i="4"/>
  <c r="J36" i="4"/>
  <c r="AL36" i="4" s="1"/>
  <c r="BJ35" i="4"/>
  <c r="BH35" i="4"/>
  <c r="AD35" i="4" s="1"/>
  <c r="BF35" i="4"/>
  <c r="BD35" i="4"/>
  <c r="AP35" i="4"/>
  <c r="AX35" i="4" s="1"/>
  <c r="AO35" i="4"/>
  <c r="AW35" i="4" s="1"/>
  <c r="AV35" i="4" s="1"/>
  <c r="AL35" i="4"/>
  <c r="AK35" i="4"/>
  <c r="AJ35" i="4"/>
  <c r="AH35" i="4"/>
  <c r="AG35" i="4"/>
  <c r="AF35" i="4"/>
  <c r="AC35" i="4"/>
  <c r="AB35" i="4"/>
  <c r="Z35" i="4"/>
  <c r="J35" i="4"/>
  <c r="I35" i="4"/>
  <c r="H35" i="4"/>
  <c r="BJ34" i="4"/>
  <c r="BF34" i="4"/>
  <c r="BD34" i="4"/>
  <c r="AP34" i="4"/>
  <c r="BI34" i="4" s="1"/>
  <c r="AE34" i="4" s="1"/>
  <c r="AO34" i="4"/>
  <c r="AW34" i="4" s="1"/>
  <c r="AK34" i="4"/>
  <c r="AJ34" i="4"/>
  <c r="AH34" i="4"/>
  <c r="AG34" i="4"/>
  <c r="AF34" i="4"/>
  <c r="AC34" i="4"/>
  <c r="AB34" i="4"/>
  <c r="Z34" i="4"/>
  <c r="J34" i="4"/>
  <c r="AL34" i="4" s="1"/>
  <c r="BJ33" i="4"/>
  <c r="BI33" i="4"/>
  <c r="AE33" i="4" s="1"/>
  <c r="BF33" i="4"/>
  <c r="BD33" i="4"/>
  <c r="AW33" i="4"/>
  <c r="AP33" i="4"/>
  <c r="AX33" i="4" s="1"/>
  <c r="AO33" i="4"/>
  <c r="BH33" i="4" s="1"/>
  <c r="AD33" i="4" s="1"/>
  <c r="AK33" i="4"/>
  <c r="AJ33" i="4"/>
  <c r="AH33" i="4"/>
  <c r="AG33" i="4"/>
  <c r="AF33" i="4"/>
  <c r="AC33" i="4"/>
  <c r="AB33" i="4"/>
  <c r="Z33" i="4"/>
  <c r="J33" i="4"/>
  <c r="AL33" i="4" s="1"/>
  <c r="I33" i="4"/>
  <c r="H33" i="4"/>
  <c r="BJ32" i="4"/>
  <c r="BF32" i="4"/>
  <c r="BD32" i="4"/>
  <c r="AP32" i="4"/>
  <c r="BI32" i="4" s="1"/>
  <c r="AE32" i="4" s="1"/>
  <c r="AO32" i="4"/>
  <c r="AW32" i="4" s="1"/>
  <c r="AK32" i="4"/>
  <c r="AJ32" i="4"/>
  <c r="AH32" i="4"/>
  <c r="AG32" i="4"/>
  <c r="AF32" i="4"/>
  <c r="AC32" i="4"/>
  <c r="AB32" i="4"/>
  <c r="Z32" i="4"/>
  <c r="J32" i="4"/>
  <c r="AL32" i="4" s="1"/>
  <c r="BJ31" i="4"/>
  <c r="BF31" i="4"/>
  <c r="BD31" i="4"/>
  <c r="AP31" i="4"/>
  <c r="AX31" i="4" s="1"/>
  <c r="AO31" i="4"/>
  <c r="H31" i="4" s="1"/>
  <c r="AL31" i="4"/>
  <c r="AK31" i="4"/>
  <c r="AJ31" i="4"/>
  <c r="AH31" i="4"/>
  <c r="AG31" i="4"/>
  <c r="AF31" i="4"/>
  <c r="AC31" i="4"/>
  <c r="AB31" i="4"/>
  <c r="Z31" i="4"/>
  <c r="J31" i="4"/>
  <c r="BJ30" i="4"/>
  <c r="BF30" i="4"/>
  <c r="BD30" i="4"/>
  <c r="AX30" i="4"/>
  <c r="AP30" i="4"/>
  <c r="I30" i="4" s="1"/>
  <c r="AO30" i="4"/>
  <c r="AW30" i="4" s="1"/>
  <c r="AK30" i="4"/>
  <c r="AJ30" i="4"/>
  <c r="AH30" i="4"/>
  <c r="AG30" i="4"/>
  <c r="AF30" i="4"/>
  <c r="AC30" i="4"/>
  <c r="AB30" i="4"/>
  <c r="Z30" i="4"/>
  <c r="J30" i="4"/>
  <c r="AL30" i="4" s="1"/>
  <c r="BJ29" i="4"/>
  <c r="BH29" i="4"/>
  <c r="AD29" i="4" s="1"/>
  <c r="BF29" i="4"/>
  <c r="BD29" i="4"/>
  <c r="BC29" i="4"/>
  <c r="AW29" i="4"/>
  <c r="AP29" i="4"/>
  <c r="AX29" i="4" s="1"/>
  <c r="AO29" i="4"/>
  <c r="AK29" i="4"/>
  <c r="AJ29" i="4"/>
  <c r="AH29" i="4"/>
  <c r="AG29" i="4"/>
  <c r="AF29" i="4"/>
  <c r="AC29" i="4"/>
  <c r="AB29" i="4"/>
  <c r="Z29" i="4"/>
  <c r="J29" i="4"/>
  <c r="AL29" i="4" s="1"/>
  <c r="I29" i="4"/>
  <c r="H29" i="4"/>
  <c r="BJ28" i="4"/>
  <c r="BF28" i="4"/>
  <c r="BD28" i="4"/>
  <c r="AP28" i="4"/>
  <c r="BI28" i="4" s="1"/>
  <c r="AE28" i="4" s="1"/>
  <c r="AO28" i="4"/>
  <c r="AW28" i="4" s="1"/>
  <c r="AK28" i="4"/>
  <c r="AJ28" i="4"/>
  <c r="AH28" i="4"/>
  <c r="AG28" i="4"/>
  <c r="AF28" i="4"/>
  <c r="AC28" i="4"/>
  <c r="AB28" i="4"/>
  <c r="Z28" i="4"/>
  <c r="J28" i="4"/>
  <c r="AL28" i="4" s="1"/>
  <c r="BJ26" i="4"/>
  <c r="Z26" i="4" s="1"/>
  <c r="BI26" i="4"/>
  <c r="BF26" i="4"/>
  <c r="BD26" i="4"/>
  <c r="AP26" i="4"/>
  <c r="AX26" i="4" s="1"/>
  <c r="AO26" i="4"/>
  <c r="BH26" i="4" s="1"/>
  <c r="AK26" i="4"/>
  <c r="AJ26" i="4"/>
  <c r="AH26" i="4"/>
  <c r="AG26" i="4"/>
  <c r="AF26" i="4"/>
  <c r="AE26" i="4"/>
  <c r="AD26" i="4"/>
  <c r="AC26" i="4"/>
  <c r="AB26" i="4"/>
  <c r="J26" i="4"/>
  <c r="AL26" i="4" s="1"/>
  <c r="H26" i="4"/>
  <c r="BJ25" i="4"/>
  <c r="BF25" i="4"/>
  <c r="BD25" i="4"/>
  <c r="AP25" i="4"/>
  <c r="BI25" i="4" s="1"/>
  <c r="AE25" i="4" s="1"/>
  <c r="AO25" i="4"/>
  <c r="AW25" i="4" s="1"/>
  <c r="AK25" i="4"/>
  <c r="AJ25" i="4"/>
  <c r="AH25" i="4"/>
  <c r="AG25" i="4"/>
  <c r="AF25" i="4"/>
  <c r="AC25" i="4"/>
  <c r="AB25" i="4"/>
  <c r="Z25" i="4"/>
  <c r="J25" i="4"/>
  <c r="AL25" i="4" s="1"/>
  <c r="BJ24" i="4"/>
  <c r="BI24" i="4"/>
  <c r="BF24" i="4"/>
  <c r="BD24" i="4"/>
  <c r="AP24" i="4"/>
  <c r="AX24" i="4" s="1"/>
  <c r="AO24" i="4"/>
  <c r="AW24" i="4" s="1"/>
  <c r="AV24" i="4" s="1"/>
  <c r="AL24" i="4"/>
  <c r="AK24" i="4"/>
  <c r="AJ24" i="4"/>
  <c r="AH24" i="4"/>
  <c r="AG24" i="4"/>
  <c r="AF24" i="4"/>
  <c r="AE24" i="4"/>
  <c r="AC24" i="4"/>
  <c r="AB24" i="4"/>
  <c r="Z24" i="4"/>
  <c r="J24" i="4"/>
  <c r="I24" i="4"/>
  <c r="BJ23" i="4"/>
  <c r="BF23" i="4"/>
  <c r="BD23" i="4"/>
  <c r="AP23" i="4"/>
  <c r="AO23" i="4"/>
  <c r="AW23" i="4" s="1"/>
  <c r="AK23" i="4"/>
  <c r="AT22" i="4" s="1"/>
  <c r="AJ23" i="4"/>
  <c r="AH23" i="4"/>
  <c r="AG23" i="4"/>
  <c r="AF23" i="4"/>
  <c r="AC23" i="4"/>
  <c r="AB23" i="4"/>
  <c r="Z23" i="4"/>
  <c r="J23" i="4"/>
  <c r="AL23" i="4" s="1"/>
  <c r="BJ21" i="4"/>
  <c r="BH21" i="4"/>
  <c r="BF21" i="4"/>
  <c r="BD21" i="4"/>
  <c r="AW21" i="4"/>
  <c r="BC21" i="4" s="1"/>
  <c r="AP21" i="4"/>
  <c r="AX21" i="4" s="1"/>
  <c r="AO21" i="4"/>
  <c r="H21" i="4" s="1"/>
  <c r="AK21" i="4"/>
  <c r="AJ21" i="4"/>
  <c r="AH21" i="4"/>
  <c r="AG21" i="4"/>
  <c r="AF21" i="4"/>
  <c r="AE21" i="4"/>
  <c r="AD21" i="4"/>
  <c r="AC21" i="4"/>
  <c r="AB21" i="4"/>
  <c r="Z21" i="4"/>
  <c r="J21" i="4"/>
  <c r="AL21" i="4" s="1"/>
  <c r="BJ20" i="4"/>
  <c r="BF20" i="4"/>
  <c r="BD20" i="4"/>
  <c r="AP20" i="4"/>
  <c r="BI20" i="4" s="1"/>
  <c r="AC20" i="4" s="1"/>
  <c r="AO20" i="4"/>
  <c r="AW20" i="4" s="1"/>
  <c r="AK20" i="4"/>
  <c r="AJ20" i="4"/>
  <c r="AH20" i="4"/>
  <c r="AG20" i="4"/>
  <c r="AF20" i="4"/>
  <c r="AE20" i="4"/>
  <c r="AD20" i="4"/>
  <c r="Z20" i="4"/>
  <c r="J20" i="4"/>
  <c r="AL20" i="4" s="1"/>
  <c r="H20" i="4"/>
  <c r="H19" i="4" s="1"/>
  <c r="J15" i="3" s="1"/>
  <c r="BJ18" i="4"/>
  <c r="BF18" i="4"/>
  <c r="BD18" i="4"/>
  <c r="AW18" i="4"/>
  <c r="AP18" i="4"/>
  <c r="BI18" i="4" s="1"/>
  <c r="AC18" i="4" s="1"/>
  <c r="AO18" i="4"/>
  <c r="BH18" i="4" s="1"/>
  <c r="AB18" i="4" s="1"/>
  <c r="AK18" i="4"/>
  <c r="AJ18" i="4"/>
  <c r="AH18" i="4"/>
  <c r="AG18" i="4"/>
  <c r="AF18" i="4"/>
  <c r="AE18" i="4"/>
  <c r="AD18" i="4"/>
  <c r="Z18" i="4"/>
  <c r="J18" i="4"/>
  <c r="AL18" i="4" s="1"/>
  <c r="H18" i="4"/>
  <c r="BJ17" i="4"/>
  <c r="BF17" i="4"/>
  <c r="BD17" i="4"/>
  <c r="AP17" i="4"/>
  <c r="BI17" i="4" s="1"/>
  <c r="AC17" i="4" s="1"/>
  <c r="AO17" i="4"/>
  <c r="AW17" i="4" s="1"/>
  <c r="AK17" i="4"/>
  <c r="AJ17" i="4"/>
  <c r="AH17" i="4"/>
  <c r="AG17" i="4"/>
  <c r="AF17" i="4"/>
  <c r="AE17" i="4"/>
  <c r="AD17" i="4"/>
  <c r="Z17" i="4"/>
  <c r="J17" i="4"/>
  <c r="AL17" i="4" s="1"/>
  <c r="I17" i="4"/>
  <c r="BJ16" i="4"/>
  <c r="BF16" i="4"/>
  <c r="BD16" i="4"/>
  <c r="AP16" i="4"/>
  <c r="I16" i="4" s="1"/>
  <c r="AO16" i="4"/>
  <c r="H16" i="4" s="1"/>
  <c r="AK16" i="4"/>
  <c r="AT15" i="4" s="1"/>
  <c r="AJ16" i="4"/>
  <c r="AS15" i="4" s="1"/>
  <c r="AH16" i="4"/>
  <c r="AG16" i="4"/>
  <c r="AF16" i="4"/>
  <c r="AE16" i="4"/>
  <c r="AD16" i="4"/>
  <c r="Z16" i="4"/>
  <c r="J16" i="4"/>
  <c r="AL16" i="4" s="1"/>
  <c r="BJ14" i="4"/>
  <c r="BH14" i="4"/>
  <c r="BF14" i="4"/>
  <c r="BD14" i="4"/>
  <c r="AW14" i="4"/>
  <c r="AP14" i="4"/>
  <c r="I14" i="4" s="1"/>
  <c r="I13" i="4" s="1"/>
  <c r="AO14" i="4"/>
  <c r="AL14" i="4"/>
  <c r="AK14" i="4"/>
  <c r="AT13" i="4" s="1"/>
  <c r="AJ14" i="4"/>
  <c r="AH14" i="4"/>
  <c r="AG14" i="4"/>
  <c r="AF14" i="4"/>
  <c r="AE14" i="4"/>
  <c r="AD14" i="4"/>
  <c r="AB14" i="4"/>
  <c r="Z14" i="4"/>
  <c r="J14" i="4"/>
  <c r="H14" i="4"/>
  <c r="AU13" i="4"/>
  <c r="AS13" i="4"/>
  <c r="J13" i="4"/>
  <c r="L13" i="3" s="1"/>
  <c r="N13" i="3" s="1"/>
  <c r="H13" i="4"/>
  <c r="AU1" i="4"/>
  <c r="AT1" i="4"/>
  <c r="AS1" i="4"/>
  <c r="P28" i="3"/>
  <c r="N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J13" i="3"/>
  <c r="N12" i="3"/>
  <c r="J8" i="3"/>
  <c r="H8" i="3"/>
  <c r="D8" i="3"/>
  <c r="J6" i="3"/>
  <c r="H6" i="3"/>
  <c r="D6" i="3"/>
  <c r="J4" i="3"/>
  <c r="H4" i="3"/>
  <c r="D4" i="3"/>
  <c r="J2" i="3"/>
  <c r="H2" i="3"/>
  <c r="D2" i="3"/>
  <c r="I26" i="2"/>
  <c r="I19" i="1" s="1"/>
  <c r="I25" i="2"/>
  <c r="I18" i="1" s="1"/>
  <c r="I24" i="2"/>
  <c r="I17" i="1" s="1"/>
  <c r="I23" i="2"/>
  <c r="I22" i="2"/>
  <c r="I17" i="2"/>
  <c r="I16" i="2"/>
  <c r="F15" i="1" s="1"/>
  <c r="I15" i="2"/>
  <c r="F14" i="1" s="1"/>
  <c r="I10" i="2"/>
  <c r="F10" i="2"/>
  <c r="C10" i="2"/>
  <c r="F8" i="2"/>
  <c r="C8" i="2"/>
  <c r="F6" i="2"/>
  <c r="C6" i="2"/>
  <c r="F4" i="2"/>
  <c r="C4" i="2"/>
  <c r="F2" i="2"/>
  <c r="C2" i="2"/>
  <c r="I16" i="1"/>
  <c r="F16" i="1"/>
  <c r="I15" i="1"/>
  <c r="I10" i="1"/>
  <c r="F10" i="1"/>
  <c r="C10" i="1"/>
  <c r="F8" i="1"/>
  <c r="C8" i="1"/>
  <c r="F6" i="1"/>
  <c r="C6" i="1"/>
  <c r="F4" i="1"/>
  <c r="C4" i="1"/>
  <c r="F2" i="1"/>
  <c r="C2" i="1"/>
  <c r="F22" i="1" l="1"/>
  <c r="AV21" i="4"/>
  <c r="AT27" i="4"/>
  <c r="BC36" i="4"/>
  <c r="AV107" i="4"/>
  <c r="H34" i="4"/>
  <c r="I32" i="4"/>
  <c r="AX34" i="4"/>
  <c r="AX45" i="4"/>
  <c r="AV45" i="4" s="1"/>
  <c r="H47" i="4"/>
  <c r="BI63" i="4"/>
  <c r="AX68" i="4"/>
  <c r="AV68" i="4" s="1"/>
  <c r="AV78" i="4"/>
  <c r="AT83" i="4"/>
  <c r="H101" i="4"/>
  <c r="AX101" i="4"/>
  <c r="BC101" i="4" s="1"/>
  <c r="I104" i="4"/>
  <c r="AX17" i="4"/>
  <c r="AV17" i="4" s="1"/>
  <c r="BC49" i="4"/>
  <c r="AX32" i="4"/>
  <c r="I34" i="4"/>
  <c r="AX43" i="4"/>
  <c r="J15" i="4"/>
  <c r="L14" i="3" s="1"/>
  <c r="N14" i="3" s="1"/>
  <c r="BH17" i="4"/>
  <c r="AB17" i="4" s="1"/>
  <c r="I28" i="4"/>
  <c r="AX28" i="4"/>
  <c r="AV28" i="4" s="1"/>
  <c r="H41" i="4"/>
  <c r="AX47" i="4"/>
  <c r="AV47" i="4" s="1"/>
  <c r="AX49" i="4"/>
  <c r="AX67" i="4"/>
  <c r="BI70" i="4"/>
  <c r="AE70" i="4" s="1"/>
  <c r="AS76" i="4"/>
  <c r="BI80" i="4"/>
  <c r="AE80" i="4" s="1"/>
  <c r="I94" i="4"/>
  <c r="AW94" i="4"/>
  <c r="H96" i="4"/>
  <c r="AW96" i="4"/>
  <c r="AS99" i="4"/>
  <c r="AV104" i="4"/>
  <c r="AX106" i="4"/>
  <c r="AT103" i="4"/>
  <c r="AW111" i="4"/>
  <c r="AW113" i="4"/>
  <c r="BC113" i="4" s="1"/>
  <c r="H115" i="4"/>
  <c r="I20" i="4"/>
  <c r="I38" i="4"/>
  <c r="I45" i="4"/>
  <c r="I61" i="4"/>
  <c r="AX38" i="4"/>
  <c r="AV38" i="4" s="1"/>
  <c r="AX25" i="4"/>
  <c r="BC25" i="4" s="1"/>
  <c r="AW67" i="4"/>
  <c r="BC67" i="4" s="1"/>
  <c r="AS22" i="4"/>
  <c r="H30" i="4"/>
  <c r="AV30" i="4"/>
  <c r="AX51" i="4"/>
  <c r="AV51" i="4" s="1"/>
  <c r="BH61" i="4"/>
  <c r="AD61" i="4" s="1"/>
  <c r="H86" i="4"/>
  <c r="AW88" i="4"/>
  <c r="AV88" i="4" s="1"/>
  <c r="AX104" i="4"/>
  <c r="BC104" i="4" s="1"/>
  <c r="BI109" i="4"/>
  <c r="AC109" i="4" s="1"/>
  <c r="H32" i="4"/>
  <c r="H78" i="4"/>
  <c r="AU19" i="4"/>
  <c r="AX20" i="4"/>
  <c r="BC20" i="4" s="1"/>
  <c r="AW78" i="4"/>
  <c r="BC78" i="4" s="1"/>
  <c r="AU15" i="4"/>
  <c r="AX16" i="4"/>
  <c r="BH20" i="4"/>
  <c r="AB20" i="4" s="1"/>
  <c r="H46" i="4"/>
  <c r="BI53" i="4"/>
  <c r="AE53" i="4" s="1"/>
  <c r="BI73" i="4"/>
  <c r="AE73" i="4" s="1"/>
  <c r="AT76" i="4"/>
  <c r="H100" i="4"/>
  <c r="I102" i="4"/>
  <c r="I99" i="4" s="1"/>
  <c r="K25" i="3" s="1"/>
  <c r="H108" i="4"/>
  <c r="AX36" i="4"/>
  <c r="I91" i="4"/>
  <c r="H28" i="4"/>
  <c r="BI47" i="4"/>
  <c r="AE47" i="4" s="1"/>
  <c r="BI68" i="4"/>
  <c r="AE68" i="4" s="1"/>
  <c r="BI94" i="4"/>
  <c r="AE94" i="4" s="1"/>
  <c r="BI113" i="4"/>
  <c r="BC34" i="4"/>
  <c r="I51" i="4"/>
  <c r="AW73" i="4"/>
  <c r="BC73" i="4" s="1"/>
  <c r="I18" i="2"/>
  <c r="AV33" i="4"/>
  <c r="BH51" i="4"/>
  <c r="AD51" i="4" s="1"/>
  <c r="BH64" i="4"/>
  <c r="AF64" i="4" s="1"/>
  <c r="I77" i="4"/>
  <c r="AV81" i="4"/>
  <c r="AV100" i="4"/>
  <c r="BH104" i="4"/>
  <c r="AB104" i="4" s="1"/>
  <c r="AW115" i="4"/>
  <c r="I80" i="4"/>
  <c r="BI16" i="4"/>
  <c r="AC16" i="4" s="1"/>
  <c r="AW31" i="4"/>
  <c r="AV31" i="4" s="1"/>
  <c r="AW46" i="4"/>
  <c r="AV46" i="4" s="1"/>
  <c r="AW50" i="4"/>
  <c r="H79" i="4"/>
  <c r="AX79" i="4"/>
  <c r="I87" i="4"/>
  <c r="AW87" i="4"/>
  <c r="AT90" i="4"/>
  <c r="BC95" i="4"/>
  <c r="J97" i="4"/>
  <c r="L24" i="3" s="1"/>
  <c r="N24" i="3" s="1"/>
  <c r="AX112" i="4"/>
  <c r="I25" i="4"/>
  <c r="AV49" i="4"/>
  <c r="BI91" i="4"/>
  <c r="AE91" i="4" s="1"/>
  <c r="BC17" i="4"/>
  <c r="AT19" i="4"/>
  <c r="AW26" i="4"/>
  <c r="AV26" i="4" s="1"/>
  <c r="BI37" i="4"/>
  <c r="AE37" i="4" s="1"/>
  <c r="AW39" i="4"/>
  <c r="AV39" i="4" s="1"/>
  <c r="AW52" i="4"/>
  <c r="I63" i="4"/>
  <c r="H89" i="4"/>
  <c r="BH92" i="4"/>
  <c r="AD92" i="4" s="1"/>
  <c r="H105" i="4"/>
  <c r="I107" i="4"/>
  <c r="BH110" i="4"/>
  <c r="C27" i="1"/>
  <c r="C21" i="1"/>
  <c r="C20" i="1"/>
  <c r="J117" i="4"/>
  <c r="J116" i="4" s="1"/>
  <c r="L27" i="3" s="1"/>
  <c r="P27" i="3" s="1"/>
  <c r="AX118" i="4"/>
  <c r="BC118" i="4" s="1"/>
  <c r="H118" i="4"/>
  <c r="H117" i="4" s="1"/>
  <c r="H116" i="4" s="1"/>
  <c r="J27" i="3" s="1"/>
  <c r="I118" i="4"/>
  <c r="I117" i="4" s="1"/>
  <c r="K13" i="3"/>
  <c r="BH23" i="4"/>
  <c r="AD23" i="4" s="1"/>
  <c r="BH25" i="4"/>
  <c r="AD25" i="4" s="1"/>
  <c r="BH34" i="4"/>
  <c r="AD34" i="4" s="1"/>
  <c r="BH36" i="4"/>
  <c r="AD36" i="4" s="1"/>
  <c r="BI42" i="4"/>
  <c r="AE42" i="4" s="1"/>
  <c r="AX54" i="4"/>
  <c r="BC54" i="4" s="1"/>
  <c r="BI54" i="4"/>
  <c r="BH57" i="4"/>
  <c r="AD57" i="4" s="1"/>
  <c r="H57" i="4"/>
  <c r="BH84" i="4"/>
  <c r="AD84" i="4" s="1"/>
  <c r="H84" i="4"/>
  <c r="H83" i="4" s="1"/>
  <c r="J22" i="3" s="1"/>
  <c r="AW84" i="4"/>
  <c r="BC88" i="4"/>
  <c r="BC102" i="4"/>
  <c r="AV102" i="4"/>
  <c r="AX14" i="4"/>
  <c r="AV14" i="4" s="1"/>
  <c r="AW16" i="4"/>
  <c r="J19" i="4"/>
  <c r="L15" i="3" s="1"/>
  <c r="N15" i="3" s="1"/>
  <c r="BI21" i="4"/>
  <c r="H23" i="4"/>
  <c r="I23" i="4"/>
  <c r="BI23" i="4"/>
  <c r="AE23" i="4" s="1"/>
  <c r="BC26" i="4"/>
  <c r="J27" i="4"/>
  <c r="L17" i="3" s="1"/>
  <c r="N17" i="3" s="1"/>
  <c r="AS27" i="4"/>
  <c r="BC32" i="4"/>
  <c r="BH32" i="4"/>
  <c r="AD32" i="4" s="1"/>
  <c r="BC33" i="4"/>
  <c r="BC35" i="4"/>
  <c r="H36" i="4"/>
  <c r="BC41" i="4"/>
  <c r="BH41" i="4"/>
  <c r="AD41" i="4" s="1"/>
  <c r="AV42" i="4"/>
  <c r="BC43" i="4"/>
  <c r="BH43" i="4"/>
  <c r="AD43" i="4" s="1"/>
  <c r="H53" i="4"/>
  <c r="AW53" i="4"/>
  <c r="J55" i="4"/>
  <c r="L19" i="3" s="1"/>
  <c r="N19" i="3" s="1"/>
  <c r="BC65" i="4"/>
  <c r="AV65" i="4"/>
  <c r="BI96" i="4"/>
  <c r="AE96" i="4" s="1"/>
  <c r="I96" i="4"/>
  <c r="I90" i="4" s="1"/>
  <c r="K23" i="3" s="1"/>
  <c r="AX96" i="4"/>
  <c r="BI14" i="4"/>
  <c r="AC14" i="4" s="1"/>
  <c r="BH16" i="4"/>
  <c r="AB16" i="4" s="1"/>
  <c r="AX18" i="4"/>
  <c r="BC18" i="4" s="1"/>
  <c r="C28" i="1"/>
  <c r="F28" i="1" s="1"/>
  <c r="AU22" i="4"/>
  <c r="H24" i="4"/>
  <c r="BH24" i="4"/>
  <c r="AD24" i="4" s="1"/>
  <c r="AV25" i="4"/>
  <c r="BI29" i="4"/>
  <c r="AE29" i="4" s="1"/>
  <c r="AV34" i="4"/>
  <c r="AV36" i="4"/>
  <c r="BC42" i="4"/>
  <c r="H43" i="4"/>
  <c r="AV50" i="4"/>
  <c r="AW56" i="4"/>
  <c r="BH56" i="4"/>
  <c r="AD56" i="4" s="1"/>
  <c r="AW57" i="4"/>
  <c r="BH63" i="4"/>
  <c r="H63" i="4"/>
  <c r="AW63" i="4"/>
  <c r="AV64" i="4"/>
  <c r="BC64" i="4"/>
  <c r="BC93" i="4"/>
  <c r="AV93" i="4"/>
  <c r="BC94" i="4"/>
  <c r="AV94" i="4"/>
  <c r="H17" i="4"/>
  <c r="H15" i="4" s="1"/>
  <c r="I18" i="4"/>
  <c r="I15" i="4" s="1"/>
  <c r="AS19" i="4"/>
  <c r="AX23" i="4"/>
  <c r="AV23" i="4" s="1"/>
  <c r="I26" i="4"/>
  <c r="BC28" i="4"/>
  <c r="BH28" i="4"/>
  <c r="AD28" i="4" s="1"/>
  <c r="AV29" i="4"/>
  <c r="BC30" i="4"/>
  <c r="BH30" i="4"/>
  <c r="AD30" i="4" s="1"/>
  <c r="AV32" i="4"/>
  <c r="AU40" i="4"/>
  <c r="AV41" i="4"/>
  <c r="AV43" i="4"/>
  <c r="I44" i="4"/>
  <c r="BI44" i="4"/>
  <c r="AE44" i="4" s="1"/>
  <c r="BI48" i="4"/>
  <c r="AE48" i="4" s="1"/>
  <c r="BC50" i="4"/>
  <c r="I52" i="4"/>
  <c r="AX52" i="4"/>
  <c r="H56" i="4"/>
  <c r="I76" i="4"/>
  <c r="K21" i="3" s="1"/>
  <c r="J90" i="4"/>
  <c r="L23" i="3" s="1"/>
  <c r="N23" i="3" s="1"/>
  <c r="I21" i="4"/>
  <c r="I19" i="4" s="1"/>
  <c r="K15" i="3" s="1"/>
  <c r="J22" i="4"/>
  <c r="L16" i="3" s="1"/>
  <c r="N16" i="3" s="1"/>
  <c r="H25" i="4"/>
  <c r="BH38" i="4"/>
  <c r="AD38" i="4" s="1"/>
  <c r="BH47" i="4"/>
  <c r="AD47" i="4" s="1"/>
  <c r="BH49" i="4"/>
  <c r="AD49" i="4" s="1"/>
  <c r="AV52" i="4"/>
  <c r="BC52" i="4"/>
  <c r="I54" i="4"/>
  <c r="AU55" i="4"/>
  <c r="BC72" i="4"/>
  <c r="AV72" i="4"/>
  <c r="AV18" i="4"/>
  <c r="BC24" i="4"/>
  <c r="AU27" i="4"/>
  <c r="I31" i="4"/>
  <c r="BI31" i="4"/>
  <c r="AE31" i="4" s="1"/>
  <c r="BI35" i="4"/>
  <c r="AE35" i="4" s="1"/>
  <c r="BC37" i="4"/>
  <c r="BC39" i="4"/>
  <c r="J40" i="4"/>
  <c r="L18" i="3" s="1"/>
  <c r="N18" i="3" s="1"/>
  <c r="AS40" i="4"/>
  <c r="I42" i="4"/>
  <c r="AV44" i="4"/>
  <c r="BC45" i="4"/>
  <c r="BH45" i="4"/>
  <c r="AD45" i="4" s="1"/>
  <c r="BC46" i="4"/>
  <c r="BC48" i="4"/>
  <c r="H49" i="4"/>
  <c r="BH70" i="4"/>
  <c r="AD70" i="4" s="1"/>
  <c r="H70" i="4"/>
  <c r="AW70" i="4"/>
  <c r="BI89" i="4"/>
  <c r="AE89" i="4" s="1"/>
  <c r="I89" i="4"/>
  <c r="I83" i="4" s="1"/>
  <c r="K22" i="3" s="1"/>
  <c r="AX89" i="4"/>
  <c r="AV89" i="4" s="1"/>
  <c r="AU90" i="4"/>
  <c r="AV62" i="4"/>
  <c r="BI69" i="4"/>
  <c r="AE69" i="4" s="1"/>
  <c r="I69" i="4"/>
  <c r="AX69" i="4"/>
  <c r="BC69" i="4" s="1"/>
  <c r="AL70" i="4"/>
  <c r="AU66" i="4" s="1"/>
  <c r="J66" i="4"/>
  <c r="L20" i="3" s="1"/>
  <c r="N20" i="3" s="1"/>
  <c r="BI82" i="4"/>
  <c r="I82" i="4"/>
  <c r="AX82" i="4"/>
  <c r="AV82" i="4" s="1"/>
  <c r="AU83" i="4"/>
  <c r="AS90" i="4"/>
  <c r="BI105" i="4"/>
  <c r="AC105" i="4" s="1"/>
  <c r="I105" i="4"/>
  <c r="AX105" i="4"/>
  <c r="AL106" i="4"/>
  <c r="AU103" i="4" s="1"/>
  <c r="J103" i="4"/>
  <c r="L26" i="3" s="1"/>
  <c r="N26" i="3" s="1"/>
  <c r="BI111" i="4"/>
  <c r="I111" i="4"/>
  <c r="AX111" i="4"/>
  <c r="BC111" i="4" s="1"/>
  <c r="BC115" i="4"/>
  <c r="AV115" i="4"/>
  <c r="BC61" i="4"/>
  <c r="BI62" i="4"/>
  <c r="AE62" i="4" s="1"/>
  <c r="I62" i="4"/>
  <c r="AX62" i="4"/>
  <c r="BC62" i="4" s="1"/>
  <c r="AV69" i="4"/>
  <c r="BH77" i="4"/>
  <c r="AD77" i="4" s="1"/>
  <c r="H77" i="4"/>
  <c r="AW77" i="4"/>
  <c r="AS83" i="4"/>
  <c r="AV101" i="4"/>
  <c r="AV105" i="4"/>
  <c r="BC108" i="4"/>
  <c r="AV108" i="4"/>
  <c r="AV111" i="4"/>
  <c r="AV113" i="4"/>
  <c r="BC114" i="4"/>
  <c r="AV114" i="4"/>
  <c r="BI30" i="4"/>
  <c r="AE30" i="4" s="1"/>
  <c r="BH31" i="4"/>
  <c r="AD31" i="4" s="1"/>
  <c r="BI36" i="4"/>
  <c r="AE36" i="4" s="1"/>
  <c r="BH37" i="4"/>
  <c r="AD37" i="4" s="1"/>
  <c r="BI43" i="4"/>
  <c r="AE43" i="4" s="1"/>
  <c r="BH44" i="4"/>
  <c r="AD44" i="4" s="1"/>
  <c r="BI49" i="4"/>
  <c r="AE49" i="4" s="1"/>
  <c r="BH50" i="4"/>
  <c r="AD50" i="4" s="1"/>
  <c r="BI56" i="4"/>
  <c r="AE56" i="4" s="1"/>
  <c r="BI57" i="4"/>
  <c r="AE57" i="4" s="1"/>
  <c r="BC59" i="4"/>
  <c r="AV59" i="4"/>
  <c r="BC60" i="4"/>
  <c r="AV60" i="4"/>
  <c r="AS66" i="4"/>
  <c r="BC74" i="4"/>
  <c r="BH91" i="4"/>
  <c r="AD91" i="4" s="1"/>
  <c r="H91" i="4"/>
  <c r="H90" i="4" s="1"/>
  <c r="J23" i="3" s="1"/>
  <c r="AW91" i="4"/>
  <c r="AS103" i="4"/>
  <c r="H58" i="4"/>
  <c r="AW58" i="4"/>
  <c r="BH58" i="4"/>
  <c r="AD58" i="4" s="1"/>
  <c r="H66" i="4"/>
  <c r="J20" i="3" s="1"/>
  <c r="AV74" i="4"/>
  <c r="BI75" i="4"/>
  <c r="I75" i="4"/>
  <c r="AX75" i="4"/>
  <c r="AV75" i="4" s="1"/>
  <c r="AU76" i="4"/>
  <c r="BC79" i="4"/>
  <c r="AV79" i="4"/>
  <c r="BC80" i="4"/>
  <c r="AV80" i="4"/>
  <c r="J83" i="4"/>
  <c r="L22" i="3" s="1"/>
  <c r="N22" i="3" s="1"/>
  <c r="AV85" i="4"/>
  <c r="BC86" i="4"/>
  <c r="AV86" i="4"/>
  <c r="BC87" i="4"/>
  <c r="AV87" i="4"/>
  <c r="AV95" i="4"/>
  <c r="AV96" i="4"/>
  <c r="BH98" i="4"/>
  <c r="AB98" i="4" s="1"/>
  <c r="H98" i="4"/>
  <c r="H97" i="4" s="1"/>
  <c r="J24" i="3" s="1"/>
  <c r="AW98" i="4"/>
  <c r="BC100" i="4"/>
  <c r="BH106" i="4"/>
  <c r="AB106" i="4" s="1"/>
  <c r="H106" i="4"/>
  <c r="AW106" i="4"/>
  <c r="BH112" i="4"/>
  <c r="H112" i="4"/>
  <c r="AW112" i="4"/>
  <c r="BI112" i="4"/>
  <c r="BH113" i="4"/>
  <c r="BH118" i="4"/>
  <c r="AF118" i="4" s="1"/>
  <c r="C18" i="1" s="1"/>
  <c r="BI58" i="4"/>
  <c r="AE58" i="4" s="1"/>
  <c r="BH59" i="4"/>
  <c r="AD59" i="4" s="1"/>
  <c r="BI64" i="4"/>
  <c r="AG64" i="4" s="1"/>
  <c r="C19" i="1" s="1"/>
  <c r="BH65" i="4"/>
  <c r="AX70" i="4"/>
  <c r="AW71" i="4"/>
  <c r="BI71" i="4"/>
  <c r="AE71" i="4" s="1"/>
  <c r="BH72" i="4"/>
  <c r="AD72" i="4" s="1"/>
  <c r="BI78" i="4"/>
  <c r="AE78" i="4" s="1"/>
  <c r="BH79" i="4"/>
  <c r="AD79" i="4" s="1"/>
  <c r="BI85" i="4"/>
  <c r="AE85" i="4" s="1"/>
  <c r="BH86" i="4"/>
  <c r="AD86" i="4" s="1"/>
  <c r="BI92" i="4"/>
  <c r="AE92" i="4" s="1"/>
  <c r="BH93" i="4"/>
  <c r="AD93" i="4" s="1"/>
  <c r="BC96" i="4"/>
  <c r="BI100" i="4"/>
  <c r="AC100" i="4" s="1"/>
  <c r="BH101" i="4"/>
  <c r="AB101" i="4" s="1"/>
  <c r="BC105" i="4"/>
  <c r="BI107" i="4"/>
  <c r="AC107" i="4" s="1"/>
  <c r="BH108" i="4"/>
  <c r="BH60" i="4"/>
  <c r="AD60" i="4" s="1"/>
  <c r="BI65" i="4"/>
  <c r="BH67" i="4"/>
  <c r="AD67" i="4" s="1"/>
  <c r="BI72" i="4"/>
  <c r="AE72" i="4" s="1"/>
  <c r="BH73" i="4"/>
  <c r="AD73" i="4" s="1"/>
  <c r="BI79" i="4"/>
  <c r="AE79" i="4" s="1"/>
  <c r="BH80" i="4"/>
  <c r="AD80" i="4" s="1"/>
  <c r="BI86" i="4"/>
  <c r="AE86" i="4" s="1"/>
  <c r="BH87" i="4"/>
  <c r="AD87" i="4" s="1"/>
  <c r="BI93" i="4"/>
  <c r="AE93" i="4" s="1"/>
  <c r="BH94" i="4"/>
  <c r="AD94" i="4" s="1"/>
  <c r="BI101" i="4"/>
  <c r="AC101" i="4" s="1"/>
  <c r="BH102" i="4"/>
  <c r="BI108" i="4"/>
  <c r="BI61" i="4"/>
  <c r="AE61" i="4" s="1"/>
  <c r="BH62" i="4"/>
  <c r="AD62" i="4" s="1"/>
  <c r="BI74" i="4"/>
  <c r="AE74" i="4" s="1"/>
  <c r="BH75" i="4"/>
  <c r="BI81" i="4"/>
  <c r="AE81" i="4" s="1"/>
  <c r="BH82" i="4"/>
  <c r="BI88" i="4"/>
  <c r="AE88" i="4" s="1"/>
  <c r="BH89" i="4"/>
  <c r="AD89" i="4" s="1"/>
  <c r="J99" i="4"/>
  <c r="L25" i="3" s="1"/>
  <c r="N25" i="3" s="1"/>
  <c r="AX109" i="4"/>
  <c r="BC109" i="4" s="1"/>
  <c r="AW110" i="4"/>
  <c r="H76" i="4" l="1"/>
  <c r="J21" i="3" s="1"/>
  <c r="BC82" i="4"/>
  <c r="BC23" i="4"/>
  <c r="BC47" i="4"/>
  <c r="C17" i="1"/>
  <c r="H99" i="4"/>
  <c r="J25" i="3" s="1"/>
  <c r="BC38" i="4"/>
  <c r="AV67" i="4"/>
  <c r="C14" i="1"/>
  <c r="H103" i="4"/>
  <c r="J26" i="3" s="1"/>
  <c r="I55" i="4"/>
  <c r="K19" i="3" s="1"/>
  <c r="I27" i="4"/>
  <c r="K17" i="3" s="1"/>
  <c r="BC31" i="4"/>
  <c r="H27" i="4"/>
  <c r="J17" i="3" s="1"/>
  <c r="AV54" i="4"/>
  <c r="BC68" i="4"/>
  <c r="BC51" i="4"/>
  <c r="AV20" i="4"/>
  <c r="AV73" i="4"/>
  <c r="I66" i="4"/>
  <c r="K20" i="3" s="1"/>
  <c r="AV118" i="4"/>
  <c r="L28" i="3"/>
  <c r="N28" i="3" s="1"/>
  <c r="L29" i="3" s="1"/>
  <c r="J28" i="3"/>
  <c r="I116" i="4"/>
  <c r="K27" i="3" s="1"/>
  <c r="K28" i="3"/>
  <c r="J14" i="3"/>
  <c r="K14" i="3"/>
  <c r="AV57" i="4"/>
  <c r="BC57" i="4"/>
  <c r="BC16" i="4"/>
  <c r="AV16" i="4"/>
  <c r="BC75" i="4"/>
  <c r="J119" i="4"/>
  <c r="AV109" i="4"/>
  <c r="J12" i="4"/>
  <c r="L12" i="3" s="1"/>
  <c r="P12" i="3" s="1"/>
  <c r="BC56" i="4"/>
  <c r="AV56" i="4"/>
  <c r="BC53" i="4"/>
  <c r="AV53" i="4"/>
  <c r="I22" i="4"/>
  <c r="K16" i="3" s="1"/>
  <c r="AV71" i="4"/>
  <c r="BC71" i="4"/>
  <c r="AV84" i="4"/>
  <c r="BC84" i="4"/>
  <c r="AV106" i="4"/>
  <c r="BC106" i="4"/>
  <c r="I40" i="4"/>
  <c r="K18" i="3" s="1"/>
  <c r="C15" i="1"/>
  <c r="BC110" i="4"/>
  <c r="AV110" i="4"/>
  <c r="I103" i="4"/>
  <c r="K26" i="3" s="1"/>
  <c r="AV70" i="4"/>
  <c r="BC70" i="4"/>
  <c r="AV63" i="4"/>
  <c r="BC63" i="4"/>
  <c r="BC14" i="4"/>
  <c r="H22" i="4"/>
  <c r="J16" i="3" s="1"/>
  <c r="BC58" i="4"/>
  <c r="AV58" i="4"/>
  <c r="AV112" i="4"/>
  <c r="BC112" i="4"/>
  <c r="AV77" i="4"/>
  <c r="BC77" i="4"/>
  <c r="H55" i="4"/>
  <c r="J19" i="3" s="1"/>
  <c r="H40" i="4"/>
  <c r="J18" i="3" s="1"/>
  <c r="BC89" i="4"/>
  <c r="AV98" i="4"/>
  <c r="BC98" i="4"/>
  <c r="AV91" i="4"/>
  <c r="BC91" i="4"/>
  <c r="C16" i="1"/>
  <c r="C22" i="1" l="1"/>
  <c r="H35" i="2" s="1"/>
  <c r="I35" i="2" s="1"/>
  <c r="I36" i="2" s="1"/>
  <c r="I24" i="1" s="1"/>
  <c r="I12" i="4"/>
  <c r="K12" i="3" s="1"/>
  <c r="H12" i="4"/>
  <c r="J12" i="3" s="1"/>
  <c r="H21" i="2" l="1"/>
  <c r="I21" i="2" s="1"/>
  <c r="I14" i="1" s="1"/>
  <c r="I22" i="1" s="1"/>
  <c r="C29" i="1" s="1"/>
  <c r="I27" i="2" l="1"/>
  <c r="F29" i="2" s="1"/>
  <c r="F29" i="1"/>
  <c r="I28" i="1"/>
  <c r="I29" i="1" l="1"/>
</calcChain>
</file>

<file path=xl/sharedStrings.xml><?xml version="1.0" encoding="utf-8"?>
<sst xmlns="http://schemas.openxmlformats.org/spreadsheetml/2006/main" count="2962" uniqueCount="613">
  <si>
    <t>Krycí list slepého rozpočtu</t>
  </si>
  <si>
    <t>Název stavby:</t>
  </si>
  <si>
    <t>Objednatel:</t>
  </si>
  <si>
    <t>IČO/DIČ:</t>
  </si>
  <si>
    <t/>
  </si>
  <si>
    <t>Druh stavby:</t>
  </si>
  <si>
    <t>Projektant:</t>
  </si>
  <si>
    <t>Lokalita:</t>
  </si>
  <si>
    <t>Zhotovitel:</t>
  </si>
  <si>
    <t>Začátek výstavby:</t>
  </si>
  <si>
    <t>Konec výstavby:</t>
  </si>
  <si>
    <t>Položek:</t>
  </si>
  <si>
    <t>JKSO:</t>
  </si>
  <si>
    <t>Zpracoval: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</si>
  <si>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</si>
  <si>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</si>
  <si>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</si>
  <si>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</si>
  <si>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</si>
  <si>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</si>
  <si>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</si>
  <si>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</si>
  <si>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</si>
  <si>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</si>
  <si>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</si>
  <si>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</si>
  <si>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Montáž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</si>
  <si>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</si>
  <si>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</si>
  <si>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</si>
  <si>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</si>
  <si>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</si>
  <si>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</si>
  <si>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</si>
  <si>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</si>
  <si>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</si>
  <si>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</si>
  <si>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</si>
  <si>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</si>
  <si>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</si>
  <si>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</si>
  <si>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</si>
  <si>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</si>
  <si>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</si>
  <si>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</si>
  <si>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</si>
  <si>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</si>
  <si>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</si>
  <si>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</si>
  <si>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</si>
  <si>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</si>
  <si>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</si>
  <si>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</si>
  <si>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</si>
  <si>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</si>
  <si>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</si>
  <si>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Poznámka:</t>
  </si>
  <si>
    <t>Rozpočet je nezávazný. Výkaz výměr, dodávek a prací není ani úplný, ani vyčerpávající. Je souhrnný, tzn. že poskytuje objednateli ucelený přehled o rozsahu a ceně dodávek a prací. Pokud zhotovitel shledá nezbytně nutným doplnit další položky do souhrnného výkazu, pak lze tak učinit pouze se souhlasem zástupce objednatele a na tuto skutečnost pak zhotovitel upozorní.
Nabídku lze odpovědně zpracovat pouze na základě kompletní dokumentace, tzn. průvodní a souhrnné části dokumentace a příslušné textové, výkresové části a výkazů výměru.</t>
  </si>
  <si>
    <t>Vedlejší a ostatní rozpočtové náklady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</si>
  <si>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</si>
  <si>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</si>
  <si>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</si>
  <si>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</si>
  <si>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</si>
  <si>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</si>
  <si>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</si>
  <si>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</si>
  <si>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Ostatní rozpočtové náklady ORN</t>
  </si>
  <si>
    <t>Ostatní rozpočtové náklady (ORN)</t>
  </si>
  <si>
    <t>Kompletační činnost</t>
  </si>
  <si>
    <t>Celkem ORN</t>
  </si>
  <si>
    <t>Slepý stavební rozpočet - Jen podskupiny</t>
  </si>
  <si>
    <t>Doba výstavby:</t>
  </si>
  <si>
    <t>Zpracováno dne:</t>
  </si>
  <si>
    <t xml:space="preserve"> </t>
  </si>
  <si>
    <t>Náklady (Kč)</t>
  </si>
  <si>
    <t>Kód</t>
  </si>
  <si>
    <t>Zkrácený popis</t>
  </si>
  <si>
    <t>Dodávka</t>
  </si>
  <si>
    <t>Celkem</t>
  </si>
  <si>
    <t>Architektonicko stavební řešení</t>
  </si>
  <si>
    <t>F</t>
  </si>
  <si>
    <t>D.1.1</t>
  </si>
  <si>
    <t>34</t>
  </si>
  <si>
    <t>Stěny a příčky</t>
  </si>
  <si>
    <t>T</t>
  </si>
  <si>
    <t>61</t>
  </si>
  <si>
    <t>Úprava povrchů vnitřní</t>
  </si>
  <si>
    <t>63</t>
  </si>
  <si>
    <t>Podlahy a podlahové konstrukce</t>
  </si>
  <si>
    <t>713</t>
  </si>
  <si>
    <t>Izolace tepelné</t>
  </si>
  <si>
    <t>733</t>
  </si>
  <si>
    <t>Rozvod potrubí</t>
  </si>
  <si>
    <t>734</t>
  </si>
  <si>
    <t>Armatury</t>
  </si>
  <si>
    <t>735</t>
  </si>
  <si>
    <t>Otopná tělesa</t>
  </si>
  <si>
    <t>766</t>
  </si>
  <si>
    <t>Konstrukce truhlářské</t>
  </si>
  <si>
    <t>771</t>
  </si>
  <si>
    <t>Podlahy z dlaždic</t>
  </si>
  <si>
    <t>783</t>
  </si>
  <si>
    <t>Nátěry</t>
  </si>
  <si>
    <t>784</t>
  </si>
  <si>
    <t>Malby</t>
  </si>
  <si>
    <t>94</t>
  </si>
  <si>
    <t>Lešení a stavební výtahy</t>
  </si>
  <si>
    <t>95</t>
  </si>
  <si>
    <t>Různé dokončovací konstrukce a práce na pozemních stavbách</t>
  </si>
  <si>
    <t>96</t>
  </si>
  <si>
    <t>Bourání konstrukcí</t>
  </si>
  <si>
    <t>Silnoproudá elektrotechnika</t>
  </si>
  <si>
    <t>D.1.4.a</t>
  </si>
  <si>
    <t>M01</t>
  </si>
  <si>
    <t>Vnitřní elektroinstalace nn</t>
  </si>
  <si>
    <t>Celkem:</t>
  </si>
  <si>
    <t>Slepý stavební rozpočet</t>
  </si>
  <si>
    <t>Stavební úpravy části objektu ZČU - část 2.</t>
  </si>
  <si>
    <t>ZČU v Plzni, Univerzitní 2732/8, Plzeň</t>
  </si>
  <si>
    <t>AIP Plzeň spol. s r.o., Brojova 16, Plzeň</t>
  </si>
  <si>
    <t>Sedláčkova 15, Plzeň</t>
  </si>
  <si>
    <t> </t>
  </si>
  <si>
    <t>8013</t>
  </si>
  <si>
    <t>Č</t>
  </si>
  <si>
    <t>MJ</t>
  </si>
  <si>
    <t>Množství</t>
  </si>
  <si>
    <t>Cena/MJ</t>
  </si>
  <si>
    <t>Cenová</t>
  </si>
  <si>
    <t>ISWORK</t>
  </si>
  <si>
    <t>GROUPCODE</t>
  </si>
  <si>
    <t>VATTAX</t>
  </si>
  <si>
    <t>Rozměry</t>
  </si>
  <si>
    <t>(Kč)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</si>
  <si>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</si>
  <si>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</si>
  <si>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</si>
  <si>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</si>
  <si>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</si>
  <si>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</si>
  <si>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</si>
  <si>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</si>
  <si>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</si>
  <si>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</si>
  <si>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</si>
  <si>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</si>
  <si>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</si>
  <si>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>1</t>
  </si>
  <si>
    <t>347081242R00</t>
  </si>
  <si>
    <t>Předstěna tl.150, O.K.CD, 1x opl.,desky RF 12,5 - S3</t>
  </si>
  <si>
    <t>m2</t>
  </si>
  <si>
    <t>RTS II / 2023</t>
  </si>
  <si>
    <t>34_</t>
  </si>
  <si>
    <t>D.1.1_3_</t>
  </si>
  <si>
    <t>D.1.1_</t>
  </si>
  <si>
    <t>2</t>
  </si>
  <si>
    <t>612421431RT2</t>
  </si>
  <si>
    <t>Oprava vápen.omítek stěn do 50 % pl. - štukových</t>
  </si>
  <si>
    <t>61_</t>
  </si>
  <si>
    <t>D.1.1_6_</t>
  </si>
  <si>
    <t>3</t>
  </si>
  <si>
    <t>611421431RT2</t>
  </si>
  <si>
    <t>Oprava váp.omítek stropů do 50% plochy - štukových</t>
  </si>
  <si>
    <t>4</t>
  </si>
  <si>
    <t>610991111R00</t>
  </si>
  <si>
    <t>Zakrývání výplní vnitřních otvorů</t>
  </si>
  <si>
    <t>5</t>
  </si>
  <si>
    <t>632441045RT3</t>
  </si>
  <si>
    <t>Potěr anhydritový, plocha do 500 m2, tl.50 mm</t>
  </si>
  <si>
    <t>63_</t>
  </si>
  <si>
    <t>6</t>
  </si>
  <si>
    <t>998011003R00</t>
  </si>
  <si>
    <t>Přesun hmot pro budovy zděné</t>
  </si>
  <si>
    <t>t</t>
  </si>
  <si>
    <t>7</t>
  </si>
  <si>
    <t>713121111RT1</t>
  </si>
  <si>
    <t>Montáž tepelné izolace podlah na sucho, jednovrstvá</t>
  </si>
  <si>
    <t>713_</t>
  </si>
  <si>
    <t>D.1.1_71_</t>
  </si>
  <si>
    <t>8</t>
  </si>
  <si>
    <t>28376064</t>
  </si>
  <si>
    <t>Deska izolační kročejová EPS tl. 35 mm</t>
  </si>
  <si>
    <t>9</t>
  </si>
  <si>
    <t>713191100RT9</t>
  </si>
  <si>
    <t>Položení separační fólie, včetně dodávky PE fólie</t>
  </si>
  <si>
    <t>10</t>
  </si>
  <si>
    <t>998713203R00</t>
  </si>
  <si>
    <t>Přesun hmot pro izolace tepelné</t>
  </si>
  <si>
    <t>11</t>
  </si>
  <si>
    <t>733191917R00</t>
  </si>
  <si>
    <t>Zaslepení potrubí zkováním a zavařením</t>
  </si>
  <si>
    <t>kus</t>
  </si>
  <si>
    <t>733_</t>
  </si>
  <si>
    <t>D.1.1_73_</t>
  </si>
  <si>
    <t>12</t>
  </si>
  <si>
    <t>733141102R00</t>
  </si>
  <si>
    <t>Odvzdušňovací nádobky</t>
  </si>
  <si>
    <t>13</t>
  </si>
  <si>
    <t>733191111R00</t>
  </si>
  <si>
    <t>Manžety prostupové pro trubky do DN 20</t>
  </si>
  <si>
    <t>14</t>
  </si>
  <si>
    <t>733111103R00</t>
  </si>
  <si>
    <t>Potrubí závitové bezešvé běžné DN 15 (Cu 28x1)</t>
  </si>
  <si>
    <t>m</t>
  </si>
  <si>
    <t>15</t>
  </si>
  <si>
    <t>733111104R00</t>
  </si>
  <si>
    <t>Potrubí závitové bezešvé běžné DN 20 (Cu 22x1)</t>
  </si>
  <si>
    <t>16</t>
  </si>
  <si>
    <t>733111105R00</t>
  </si>
  <si>
    <t>Potrubí závitové bezešvé běžné DN 25 (Cu 28x1,5)</t>
  </si>
  <si>
    <t>17</t>
  </si>
  <si>
    <t>733111106R00</t>
  </si>
  <si>
    <t>Potrubí závitové bezešvé běžné DN 32 (Cu 35x1,5)</t>
  </si>
  <si>
    <t>18</t>
  </si>
  <si>
    <t>733113113R00</t>
  </si>
  <si>
    <t>Zhotovení přípojky DN 15</t>
  </si>
  <si>
    <t>19</t>
  </si>
  <si>
    <t>733113114R00</t>
  </si>
  <si>
    <t>Zhotovení přípojky DN 20</t>
  </si>
  <si>
    <t>20</t>
  </si>
  <si>
    <t>733190108R00</t>
  </si>
  <si>
    <t>Tlaková zkouška potrubí  DN 50</t>
  </si>
  <si>
    <t>21</t>
  </si>
  <si>
    <t>722181244RZ6</t>
  </si>
  <si>
    <t>D+M Izolace návleková jednovrstvá - DN 15,20</t>
  </si>
  <si>
    <t>22</t>
  </si>
  <si>
    <t>998733203R00</t>
  </si>
  <si>
    <t>Přesun hmot pro rozvody potrubí</t>
  </si>
  <si>
    <t>23</t>
  </si>
  <si>
    <t>734172219R00</t>
  </si>
  <si>
    <t>Mezikusy DN 20/32</t>
  </si>
  <si>
    <t>soubor</t>
  </si>
  <si>
    <t>734_</t>
  </si>
  <si>
    <t>24</t>
  </si>
  <si>
    <t>734231614R00</t>
  </si>
  <si>
    <t>Ventily uzavírací G 32</t>
  </si>
  <si>
    <t>25</t>
  </si>
  <si>
    <t>734231613R00</t>
  </si>
  <si>
    <t>Ventily uzavírací G 25</t>
  </si>
  <si>
    <t>26</t>
  </si>
  <si>
    <t>734267314R00</t>
  </si>
  <si>
    <t>Šroubení radiátorové G 1/2"</t>
  </si>
  <si>
    <t>27</t>
  </si>
  <si>
    <t>734267315R00</t>
  </si>
  <si>
    <t>Šroubení radiátorové G 3/4"</t>
  </si>
  <si>
    <t>28</t>
  </si>
  <si>
    <t>734263112R00</t>
  </si>
  <si>
    <t>Armatura pro připojení těles typ VK, VKL - rohové DN 15</t>
  </si>
  <si>
    <t>29</t>
  </si>
  <si>
    <t>734263113R00</t>
  </si>
  <si>
    <t>Armatura pro připojení těles typ VK, VKL - rohové DN 20</t>
  </si>
  <si>
    <t>30</t>
  </si>
  <si>
    <t>734291962R00</t>
  </si>
  <si>
    <t>Hlavice ruční bílá</t>
  </si>
  <si>
    <t>31</t>
  </si>
  <si>
    <t>734221672R00</t>
  </si>
  <si>
    <t>Hlavice termostatická bílá VK + pojistka proti zcizení</t>
  </si>
  <si>
    <t>32</t>
  </si>
  <si>
    <t>734213113R00</t>
  </si>
  <si>
    <t>Ventil odvzdušňovací G 3/8"</t>
  </si>
  <si>
    <t>33</t>
  </si>
  <si>
    <t>734213115R00</t>
  </si>
  <si>
    <t>Ventil odvzdušňovací G 1/4"</t>
  </si>
  <si>
    <t>734295331R00</t>
  </si>
  <si>
    <t>Kohout vypouštěcí G 3/8"</t>
  </si>
  <si>
    <t>35</t>
  </si>
  <si>
    <t>734295321R00</t>
  </si>
  <si>
    <t>Kohout vypouštěcí G 1/2"</t>
  </si>
  <si>
    <t>36</t>
  </si>
  <si>
    <t>998734203R00</t>
  </si>
  <si>
    <t>Přesun hmot pro armatury</t>
  </si>
  <si>
    <t>37</t>
  </si>
  <si>
    <t>735117110R00</t>
  </si>
  <si>
    <t>Odpojení a připojení otopných těles</t>
  </si>
  <si>
    <t>735_</t>
  </si>
  <si>
    <t>38</t>
  </si>
  <si>
    <t>735157582R00</t>
  </si>
  <si>
    <t>Otopné těleso panelové Radik Ventil Kompakt 21, v. 900 mm, dl. 600 mm</t>
  </si>
  <si>
    <t>39</t>
  </si>
  <si>
    <t>735157682R00</t>
  </si>
  <si>
    <t>Otopné těleso panelové Radik Ventil Kompakt 22, v. 900 mm, dl. 600 mm</t>
  </si>
  <si>
    <t>40</t>
  </si>
  <si>
    <t>735157784R00</t>
  </si>
  <si>
    <t>Otopné těleso panelové Radik Ventil Kompakt 33, v. 900 mm, dl. 800 mm</t>
  </si>
  <si>
    <t>41</t>
  </si>
  <si>
    <t>735157785R00</t>
  </si>
  <si>
    <t>Otopné těleso panelové Radik Ventil Kompakt 33, v. 900 mm, dl. 900 mm</t>
  </si>
  <si>
    <t>42</t>
  </si>
  <si>
    <t>735158230R00</t>
  </si>
  <si>
    <t>Tlakové zkoušky panelových těles</t>
  </si>
  <si>
    <t>43</t>
  </si>
  <si>
    <t>735159310R00</t>
  </si>
  <si>
    <t>Montáž panelových těles do délky 1140 mm</t>
  </si>
  <si>
    <t>44</t>
  </si>
  <si>
    <t>045002VRN</t>
  </si>
  <si>
    <t>Náklady na koordinaci při osazení OT s jinými profesemi</t>
  </si>
  <si>
    <t>Soubor</t>
  </si>
  <si>
    <t>99</t>
  </si>
  <si>
    <t>45</t>
  </si>
  <si>
    <t>222619131R00</t>
  </si>
  <si>
    <t>Topná zkouška, protokol o uskutečnění TZ</t>
  </si>
  <si>
    <t>46</t>
  </si>
  <si>
    <t>998735203R00</t>
  </si>
  <si>
    <t>Přesun hmot pro otopná tělesa</t>
  </si>
  <si>
    <t>47</t>
  </si>
  <si>
    <t>766695212R00</t>
  </si>
  <si>
    <t>Montáž prahů dveří jednokřídlových š. do 10 cm - 10</t>
  </si>
  <si>
    <t>766_</t>
  </si>
  <si>
    <t>D.1.1_76_</t>
  </si>
  <si>
    <t>48</t>
  </si>
  <si>
    <t>766661112R00</t>
  </si>
  <si>
    <t>Montáž dveří do zárubně,otevíravých 1kř.do 0,8 m - 10</t>
  </si>
  <si>
    <t>49</t>
  </si>
  <si>
    <t>766661122R00</t>
  </si>
  <si>
    <t>Montáž dveří do zárubně,otevíravých 1kř.nad 0,8 m - 10</t>
  </si>
  <si>
    <t>50</t>
  </si>
  <si>
    <t>766670021R00</t>
  </si>
  <si>
    <t>Výměna klik</t>
  </si>
  <si>
    <t>51</t>
  </si>
  <si>
    <t>54914682</t>
  </si>
  <si>
    <t>Kování klika-knoflík Cr - 12</t>
  </si>
  <si>
    <t>52</t>
  </si>
  <si>
    <t>549146420</t>
  </si>
  <si>
    <t>Kování klika-klika Cr - 11</t>
  </si>
  <si>
    <t>53</t>
  </si>
  <si>
    <t>766669922R00</t>
  </si>
  <si>
    <t>Výměna vložky Fab</t>
  </si>
  <si>
    <t>54</t>
  </si>
  <si>
    <t>54964112</t>
  </si>
  <si>
    <t>Vložka cylindrická oboustranná FAB nikl - 11,12</t>
  </si>
  <si>
    <t>55</t>
  </si>
  <si>
    <t>998766203R00</t>
  </si>
  <si>
    <t>Přesun hmot pro truhlářské konstr.</t>
  </si>
  <si>
    <t>56</t>
  </si>
  <si>
    <t>771101101R00</t>
  </si>
  <si>
    <t>Vysávání podlah prům.vysavačem pro pokládku dlažby</t>
  </si>
  <si>
    <t>771_</t>
  </si>
  <si>
    <t>D.1.1_77_</t>
  </si>
  <si>
    <t>57</t>
  </si>
  <si>
    <t>771101210RT1</t>
  </si>
  <si>
    <t>Penetrace podkladu pod dlažby, vč. penetračního nátěru</t>
  </si>
  <si>
    <t>58</t>
  </si>
  <si>
    <t>771212115R00</t>
  </si>
  <si>
    <t>Kladení dlažby keramické do vel. 500x500 mm</t>
  </si>
  <si>
    <t>59</t>
  </si>
  <si>
    <t>597642000</t>
  </si>
  <si>
    <t>Dlaždice do vel. 500x500 mm</t>
  </si>
  <si>
    <t>60</t>
  </si>
  <si>
    <t>597643201</t>
  </si>
  <si>
    <t>Dlaždice 300 x 300 x 15 mm - mrazuvzdorná</t>
  </si>
  <si>
    <t>998771203R00</t>
  </si>
  <si>
    <t>Přesun hmot pro podlahy z dlaždic</t>
  </si>
  <si>
    <t>62</t>
  </si>
  <si>
    <t>783601813R00</t>
  </si>
  <si>
    <t>Odstranění nátěrů truhlářských - broušení - 10</t>
  </si>
  <si>
    <t>783_</t>
  </si>
  <si>
    <t>D.1.1_78_</t>
  </si>
  <si>
    <t>783626200R00</t>
  </si>
  <si>
    <t>Nátěr lazurovací truhlářských výrobků 2x lakování - 10</t>
  </si>
  <si>
    <t>64</t>
  </si>
  <si>
    <t>783201811R00</t>
  </si>
  <si>
    <t>Očištění a odmaštění kovových konstrukcí - 10</t>
  </si>
  <si>
    <t>65</t>
  </si>
  <si>
    <t>783222100R00</t>
  </si>
  <si>
    <t>Nátěr syntetický kovových konstrukcí dvojnásobný - 10</t>
  </si>
  <si>
    <t>66</t>
  </si>
  <si>
    <t>783424740R00</t>
  </si>
  <si>
    <t>Nátěr syntetický potrubí do DN 50 mm základní</t>
  </si>
  <si>
    <t>67</t>
  </si>
  <si>
    <t>783321210R00</t>
  </si>
  <si>
    <t>Nátěr syntetický doplňkových výrobků</t>
  </si>
  <si>
    <t>68</t>
  </si>
  <si>
    <t>784011222RT2</t>
  </si>
  <si>
    <t>Zakrytí podlah, včetně odstranění a dodávky papírové lepenky</t>
  </si>
  <si>
    <t>784_</t>
  </si>
  <si>
    <t>69</t>
  </si>
  <si>
    <t>784111701R00</t>
  </si>
  <si>
    <t>Penetrace podkladu nátěrem sádrokarton 1x</t>
  </si>
  <si>
    <t>70</t>
  </si>
  <si>
    <t>784115712R00</t>
  </si>
  <si>
    <t>Malba sádrokarton, bílá, bez penetrace, 2 x</t>
  </si>
  <si>
    <t>71</t>
  </si>
  <si>
    <t>784011111R00</t>
  </si>
  <si>
    <t>Oprášení/ometení podkladu</t>
  </si>
  <si>
    <t>72</t>
  </si>
  <si>
    <t>784111201R00</t>
  </si>
  <si>
    <t>Penetrace podkladu nátěrem 1 x</t>
  </si>
  <si>
    <t>73</t>
  </si>
  <si>
    <t>784115412R00</t>
  </si>
  <si>
    <t>Malba, bílá, bez penetrace, 2 x</t>
  </si>
  <si>
    <t>74</t>
  </si>
  <si>
    <t>941955002R00</t>
  </si>
  <si>
    <t>Lešení lehké pomocné, výška podlahy do 1,9 m</t>
  </si>
  <si>
    <t>94_</t>
  </si>
  <si>
    <t>D.1.1_9_</t>
  </si>
  <si>
    <t>75</t>
  </si>
  <si>
    <t>954313202R00</t>
  </si>
  <si>
    <t>Opláštění z SDK,3.str.,do300x150 mm,RF tl.12,5 mm (ÚT)</t>
  </si>
  <si>
    <t>95_</t>
  </si>
  <si>
    <t>76</t>
  </si>
  <si>
    <t>953941611R00</t>
  </si>
  <si>
    <t>Osazení konzol, závěsů ve zdivu cihelném - pro vedení přípojek</t>
  </si>
  <si>
    <t>kpl</t>
  </si>
  <si>
    <t>77</t>
  </si>
  <si>
    <t>78</t>
  </si>
  <si>
    <t>766662811R00</t>
  </si>
  <si>
    <t>Demontáž prahů dveří 1křídlových - 10 (zpětné použití)</t>
  </si>
  <si>
    <t>96_</t>
  </si>
  <si>
    <t>79</t>
  </si>
  <si>
    <t>968061125R00</t>
  </si>
  <si>
    <t>Vyvěšení dřevěných a plastových dveřních křídel pl. do 2 m2</t>
  </si>
  <si>
    <t>80</t>
  </si>
  <si>
    <t>965031131R00</t>
  </si>
  <si>
    <t>Bourání podlah z šamotové dlažby, plochy nad 1 m2 vč. lože</t>
  </si>
  <si>
    <t>81</t>
  </si>
  <si>
    <t>965200011RA0</t>
  </si>
  <si>
    <t>Bourání mazanin škvárobetonových</t>
  </si>
  <si>
    <t>m3</t>
  </si>
  <si>
    <t>82</t>
  </si>
  <si>
    <t>979990107R00</t>
  </si>
  <si>
    <t>Poplatek za uložení suti - směs betonu, cihel, dřeva, skupina odpadu 170904</t>
  </si>
  <si>
    <t>83</t>
  </si>
  <si>
    <t>735151831R00</t>
  </si>
  <si>
    <t>Demontáž otopných těles - 13 (z toho 5x včetně připojení)</t>
  </si>
  <si>
    <t>84</t>
  </si>
  <si>
    <t>979095311R00</t>
  </si>
  <si>
    <t>Naložení a složení vybouraných hmot/konstrukcí</t>
  </si>
  <si>
    <t>85</t>
  </si>
  <si>
    <t>979951111R00</t>
  </si>
  <si>
    <t>Výkup kovů - železný šrot</t>
  </si>
  <si>
    <t>86</t>
  </si>
  <si>
    <t>979081121R00</t>
  </si>
  <si>
    <t>Příplatek k odvozu za každý další 1 km</t>
  </si>
  <si>
    <t>87</t>
  </si>
  <si>
    <t>979081111R00</t>
  </si>
  <si>
    <t>Odvoz suti a vybour. hmot na skládku do 1 km</t>
  </si>
  <si>
    <t>88</t>
  </si>
  <si>
    <t>979011219R00</t>
  </si>
  <si>
    <t>Přípl.k svislé dopr.suti za každé další NP nošením</t>
  </si>
  <si>
    <t>89</t>
  </si>
  <si>
    <t>979011211R00</t>
  </si>
  <si>
    <t>Svislá doprava suti a vybour. hmot za 2.NP nošením</t>
  </si>
  <si>
    <t>90</t>
  </si>
  <si>
    <t>650000000VD</t>
  </si>
  <si>
    <t>Vnitřní elektroinstalace NN</t>
  </si>
  <si>
    <t>M01_</t>
  </si>
  <si>
    <t>D.1.4.a_9_</t>
  </si>
  <si>
    <t>D.1.4.a_</t>
  </si>
  <si>
    <t>Výkaz výměr</t>
  </si>
  <si>
    <t>Objekt</t>
  </si>
  <si>
    <t>Potřebné množství</t>
  </si>
  <si>
    <t>1.NP</t>
  </si>
  <si>
    <t>3,5*(4,25+15,25+15,25+4,53)-(0,6*1,97*2+0,8*1,97+0,95*1,97*6+0,9*1,97+1,45*1,97)-17+(0,5*1,97*6*2)+(0,5*1,1*6)</t>
  </si>
  <si>
    <t>m.č. 102</t>
  </si>
  <si>
    <t>3,5*(4,53+3,35+2,68+2,055+3,35+1,105+1,6+2+2,16)-(1,45*1,97+0,95*1,97*2+0,8*1,97+0,8*2)+(0,5*1,97*2*2)+(0,5*1,1*2)</t>
  </si>
  <si>
    <t>m.č. 101</t>
  </si>
  <si>
    <t>3,5*(4,25+19,345+2,055+19,345+2,055*3+2,16+1,69+1,03)-(0,9*1,97+0,95*1,97*9+0,8*1,97*3+0,8*2+0,6*1,97*2+1,45*1,97)+(0,5*1,97*10*2)+(0,5*1,1*10)</t>
  </si>
  <si>
    <t>m.č. 201</t>
  </si>
  <si>
    <t>3,5*(3,16+1,55*2)-(1,45*1,97)</t>
  </si>
  <si>
    <t>m.č. 200</t>
  </si>
  <si>
    <t>3,5*(4,25+19,345*2+2,055*4+4,03+2,16+1,69)-(0,9*1,97+0,95*1,97*8+0,8*1,97*2+0,8*2+1,45*1,97)+(0,5*1,97*9*2)+(0,5*1,1*9)</t>
  </si>
  <si>
    <t>m.č. 301</t>
  </si>
  <si>
    <t>3,5*(3,16+1,55+1,55)-(1,45*1,97+0,9*1,97)</t>
  </si>
  <si>
    <t>m.č. 300</t>
  </si>
  <si>
    <t>3,5*(4,25+19,345+2,055*4+1,21+2,16+1,69)-(0,9*1,97+0,95*1,97*9+0,8*1,97*2+0,6*1,97*2+1,45*1,97+0,8*2)+(0,5*1,97*10*2)+(0,5*1,1*10)+(0,3*(3,5*2+3,16))</t>
  </si>
  <si>
    <t>m.č. 401</t>
  </si>
  <si>
    <t>3,5*(3,16+1,37+1,37)-(0,9*1,97+1,45*1,97)</t>
  </si>
  <si>
    <t>m.č. 400</t>
  </si>
  <si>
    <t>100,2</t>
  </si>
  <si>
    <t>97+4,9</t>
  </si>
  <si>
    <t>2.NP</t>
  </si>
  <si>
    <t>95,8+4,9</t>
  </si>
  <si>
    <t>3.NP</t>
  </si>
  <si>
    <t>97,6+4,3</t>
  </si>
  <si>
    <t>4.NP</t>
  </si>
  <si>
    <t>0,9*1,97+0,95*1,97*8+0,8*1,97*2+0,6*1,97*2+0,8*2+1,63*1,97</t>
  </si>
  <si>
    <t>0,9*1,97+0,95*1,97*9+0,8*1,97*3+0,6*1,97*2+1,45*1,97*2+0,8*2</t>
  </si>
  <si>
    <t>0,9*1,97*2+0,95*1,97*8+0,8*1,97*3+0,6*1,97*2+1,45*1,97*2+0,8*2</t>
  </si>
  <si>
    <t>0,9*1,97*2+0,95*1,97*9+0,8*1,97*2+0,6*1,97*2+1,45*1,97*2+0,8*2</t>
  </si>
  <si>
    <t>1+30,9+68,3</t>
  </si>
  <si>
    <t>;ztratné 1,15%; 4,65405</t>
  </si>
  <si>
    <t>(1+30,9+68,3)*1,2</t>
  </si>
  <si>
    <t>(97+4,9)*1,2</t>
  </si>
  <si>
    <t>(95,8+4,9)*1,2</t>
  </si>
  <si>
    <t>880,2318</t>
  </si>
  <si>
    <t>5*2</t>
  </si>
  <si>
    <t>456,1389</t>
  </si>
  <si>
    <t>650,00894</t>
  </si>
  <si>
    <t>odpojení</t>
  </si>
  <si>
    <t>připojení</t>
  </si>
  <si>
    <t>připojení pravé</t>
  </si>
  <si>
    <t>připojení levé</t>
  </si>
  <si>
    <t>1369,803</t>
  </si>
  <si>
    <t>10+3</t>
  </si>
  <si>
    <t>14+1</t>
  </si>
  <si>
    <t>10+2</t>
  </si>
  <si>
    <t>10+1</t>
  </si>
  <si>
    <t>7+3</t>
  </si>
  <si>
    <t>1761,1036</t>
  </si>
  <si>
    <t>30,9+68,3</t>
  </si>
  <si>
    <t>;ztratné 1,15%; 4,64255</t>
  </si>
  <si>
    <t>;ztratné 1,15%; 0,0115</t>
  </si>
  <si>
    <t>7187,701</t>
  </si>
  <si>
    <t>0,1*(0,8+0,95*8+0,9)*2</t>
  </si>
  <si>
    <t>0,1*(0,9+0,95*9+0,8*2)*2</t>
  </si>
  <si>
    <t>0,1*(0,9*2+0,95*7+0,8*2)*2</t>
  </si>
  <si>
    <t>0,1*(0,9*2+0,95*9+0,8)*2</t>
  </si>
  <si>
    <t>0,8*1,97+0,95*1,97*8+0,9*1,97</t>
  </si>
  <si>
    <t>0,9*1,97+0,95*1,97*9+0,8*1,97*2</t>
  </si>
  <si>
    <t>0,9*1,97*2+0,95*1,97*7+0,8*1,97*2</t>
  </si>
  <si>
    <t>0,9*1,97*2+0,95*1,97*9+0,9*1,97</t>
  </si>
  <si>
    <t>1,5</t>
  </si>
  <si>
    <t>3,5*(4,25+15,25+15,25+4,53)-(0,6*1,97*2+0,8*1,97+0,95*1,97*6+0,9*1,97+1,45*1,97)-17</t>
  </si>
  <si>
    <t>3,5*(4,53+3,35+2,68+2,055+3,35+1,105+1,6+2+2,16)-(1,45*1,97+0,95*1,97*2+0,8*1,97+0,8*2)</t>
  </si>
  <si>
    <t>3,5</t>
  </si>
  <si>
    <t>0,065*(1+30,9+68,3)</t>
  </si>
  <si>
    <t>0,065*(97+4,9)</t>
  </si>
  <si>
    <t>0,065*(95,8+4,9)</t>
  </si>
  <si>
    <t>0,065*(97,6+4,3)</t>
  </si>
  <si>
    <t>3+2</t>
  </si>
  <si>
    <t>3+1</t>
  </si>
  <si>
    <t>92,18223*15</t>
  </si>
  <si>
    <t>92,18223*2</t>
  </si>
  <si>
    <t>akce:</t>
  </si>
  <si>
    <t>Stavební úpravy  části objektu ZČU Sedláčkova  15, Plzeň,  část 2</t>
  </si>
  <si>
    <t>část:</t>
  </si>
  <si>
    <t>D.1.4.a  Silnoproudá elektrotechnika</t>
  </si>
  <si>
    <t xml:space="preserve">             materiál</t>
  </si>
  <si>
    <t>pozice</t>
  </si>
  <si>
    <t>č.ceníku</t>
  </si>
  <si>
    <t>popis</t>
  </si>
  <si>
    <t>množství</t>
  </si>
  <si>
    <t>J.cena</t>
  </si>
  <si>
    <t xml:space="preserve">celkem </t>
  </si>
  <si>
    <t>Cenová soustava</t>
  </si>
  <si>
    <t>kabely  a  vodiče</t>
  </si>
  <si>
    <t>1.</t>
  </si>
  <si>
    <t>kabel silový Cu, PVC izolace 450V/2,5kV, -40ºC - +70ºC, CYKY 3Cx1,5 mm2
odolnost proti šíření plamene dle ČSN EN 60332-1</t>
  </si>
  <si>
    <t>materiál</t>
  </si>
  <si>
    <t>2.</t>
  </si>
  <si>
    <t>kabel silový Cu, PVC izolace 450V/2,5kV, -40ºC - +70ºC, CYKY 5Cx1,5 mm2
odolnost proti šíření plamene dle ČSN EN 60332-1</t>
  </si>
  <si>
    <t>spínače</t>
  </si>
  <si>
    <t>3.</t>
  </si>
  <si>
    <t>pohybové čidlo 230V/10A stropní/nástěnné</t>
  </si>
  <si>
    <t>montážní materiál</t>
  </si>
  <si>
    <t>4.</t>
  </si>
  <si>
    <t>elektroinstalační trubka ohebná 2336</t>
  </si>
  <si>
    <t>5.</t>
  </si>
  <si>
    <t>elektroinstalační lišta  LH 40x40</t>
  </si>
  <si>
    <t>materilá</t>
  </si>
  <si>
    <t>6.</t>
  </si>
  <si>
    <t>hmoždinky univerzální 10x60</t>
  </si>
  <si>
    <t>7.</t>
  </si>
  <si>
    <t>Krabice rozbočovací lištová s víčkem</t>
  </si>
  <si>
    <t>svítidla včetně světelných zdrojů</t>
  </si>
  <si>
    <t>8.</t>
  </si>
  <si>
    <t>A-1 - Svítidlo  přisazené/závěsné LED panel 36W, IP20 ,  účinnost 110lm/W, index CRI 90, 600x600x9mm, mikroprizmatický difuzér pro  omezení oslnění UGR&lt;  než 19</t>
  </si>
  <si>
    <t>9.</t>
  </si>
  <si>
    <t>Orientační LED svítidlo 2,6W,500lm, IP65, samostat. 1hod, nástěnné, svítí v případě výpadku napájení hlavního osvětlení</t>
  </si>
  <si>
    <t>10.</t>
  </si>
  <si>
    <t>R0001</t>
  </si>
  <si>
    <t>Příplatek za ekolikvidaci svítidla a světelného zdroje</t>
  </si>
  <si>
    <t>ostatní</t>
  </si>
  <si>
    <t>11.</t>
  </si>
  <si>
    <t>Kabelová oka komplet</t>
  </si>
  <si>
    <t>12.</t>
  </si>
  <si>
    <t>Drobný jednicový materiál, jehož podíl na celkových materiálových nákladech je malý, a proto se nespecifikuje, jako: vývodky spojky vodičové do průžezu 16 mm2. sponky, příchytky, drát vázací a svařovací, spojovací materiál,nýty, elektrody…   5% z nosného materiálu</t>
  </si>
  <si>
    <t>materiál celkem bez DPH</t>
  </si>
  <si>
    <t>13.</t>
  </si>
  <si>
    <t>Montáž kabelů měděných bez ukončení uložených volně nebo v liště plných kulatých nebo bezhalogenových (např. CYKY) počtu a průřezu žil 3x1,5 až 6 mm2</t>
  </si>
  <si>
    <t>CS ÚRS 2024 01</t>
  </si>
  <si>
    <t>14.</t>
  </si>
  <si>
    <t>Montáž kabelů měděných bez ukončení uložených volně nebo v liště plných kulatých nebo bezhalogenových (např. CYKY) počtu a průřezu žil 5x1,5 až 2,5 mm2</t>
  </si>
  <si>
    <t>15.</t>
  </si>
  <si>
    <t>Montáž spínačů speciálních se zapojením vodičů čidla pohybu nástěnného</t>
  </si>
  <si>
    <t>16.</t>
  </si>
  <si>
    <t>Montáž trubek elektroinstalačních s nasunutím nebo našroubováním do krabic plastových ohebných, uložených pevně, vnější Ø přes 23 do 35 mm</t>
  </si>
  <si>
    <t>17.</t>
  </si>
  <si>
    <t>Montáž lišt a kanálků elektroinstalačních se spojkami, ohyby a rohy a s nasunutím do krabic vkládacích s víčkem, šířky do 60 mm</t>
  </si>
  <si>
    <t>18.</t>
  </si>
  <si>
    <t xml:space="preserve">Osazení kotevních prvků  hmoždinek včetně vyvrtání otvorů, pro upevnění elektroinstalací ve stěnách cihelných, vnějšího průměru do 8 mm   </t>
  </si>
  <si>
    <t>19.</t>
  </si>
  <si>
    <t>Montáž krabic elektroinstalačních bez napojení na trubky a lišty, demontáže a montáže víčka a přístroje rozvodek se zapojenm vodičů na svorkovnici lištových plastových jednoduchých</t>
  </si>
  <si>
    <t>20.</t>
  </si>
  <si>
    <t>Montáž svítidel s integrovaným zdrojem LED se zapojením vodičů interiérových přisazených stropních hranatých nebo kruhových, plochy od 0,09 do 0,36 m2</t>
  </si>
  <si>
    <t>21.</t>
  </si>
  <si>
    <t>Montáž svítidel s integrovaným zdrojem LED se zapojením vodičů interiérových přisazených stropních hranatých nebo kruhových, plochy do 0,09 m2</t>
  </si>
  <si>
    <t>demontáže</t>
  </si>
  <si>
    <t>22.</t>
  </si>
  <si>
    <t>HZS.001</t>
  </si>
  <si>
    <t>Demontáž a likvidace  stávající elektroinstalace v  dotčených prostorách,  případně zakonzervování rozvodů  k  dalšímu   použití</t>
  </si>
  <si>
    <t>hod</t>
  </si>
  <si>
    <t>HZS</t>
  </si>
  <si>
    <t>23.</t>
  </si>
  <si>
    <t>HZS.002</t>
  </si>
  <si>
    <t>Ukončení kabelů smršťovací záklopkou nebo páskou se zapojením bez letování na přístroji nebo svorkovnici v rozvaděči</t>
  </si>
  <si>
    <t>24.</t>
  </si>
  <si>
    <t>HZS.003</t>
  </si>
  <si>
    <t>Autorský dozor</t>
  </si>
  <si>
    <t>25.</t>
  </si>
  <si>
    <t>HZS.004</t>
  </si>
  <si>
    <t>Práce nezahrnuté v cenících 21M.46M, zapsané do montážního deníku a potvrzené investorem</t>
  </si>
  <si>
    <t>26.</t>
  </si>
  <si>
    <t>HZS.005</t>
  </si>
  <si>
    <t xml:space="preserve">Zakreslení skutečného stavu </t>
  </si>
  <si>
    <t>27.</t>
  </si>
  <si>
    <t>HZS.006</t>
  </si>
  <si>
    <t xml:space="preserve">Podíl prací jiných profesí než elektro </t>
  </si>
  <si>
    <t>28.</t>
  </si>
  <si>
    <t>Zkoušky a prohlídky elektrických rozvodů a zařízení celková prohlídka a vyhotovení revizní zprávy pro objem montážních prací  do 100 tis. Kč</t>
  </si>
  <si>
    <t>29.</t>
  </si>
  <si>
    <t>Měření osvětlovacího zařízení intenzity osvětlení na pracovišti do 50 svítidel</t>
  </si>
  <si>
    <t>montáž celkem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</si>
</sst>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name val="Calibri"/>
      <charset val="1"/>
    </font>
    <font>
      <sz val="18"/>
      <color rgb="FF000000"/>
      <name val="Arial"/>
      <charset val="238"/>
    </font>
    <font>
      <sz val="10"/>
      <color rgb="FF000000"/>
      <name val="Arial"/>
      <charset val="238"/>
    </font>
    <font>
      <b/>
      <sz val="10"/>
      <color rgb="FF000000"/>
      <name val="Arial"/>
      <charset val="238"/>
    </font>
    <font>
      <b/>
      <sz val="18"/>
      <color rgb="FF000000"/>
      <name val="Arial"/>
      <charset val="238"/>
    </font>
    <font>
      <b/>
      <sz val="20"/>
      <color rgb="FF000000"/>
      <name val="Arial"/>
      <charset val="238"/>
    </font>
    <font>
      <b/>
      <sz val="11"/>
      <color rgb="FF000000"/>
      <name val="Arial"/>
      <charset val="238"/>
    </font>
    <font>
      <b/>
      <sz val="12"/>
      <color rgb="FF000000"/>
      <name val="Arial"/>
      <charset val="238"/>
    </font>
    <font>
      <sz val="12"/>
      <color rgb="FF000000"/>
      <name val="Arial"/>
      <charset val="238"/>
    </font>
    <font>
      <i/>
      <sz val="8"/>
      <color rgb="FF000000"/>
      <name val="Arial"/>
      <charset val="238"/>
    </font>
    <font>
      <i/>
      <sz val="9"/>
      <color rgb="FF000000"/>
      <name val="Arial"/>
      <charset val="238"/>
    </font>
    <font>
      <sz val="10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family val="2"/>
      <charset val="238"/>
    </font>
    <font>
      <sz val="8"/>
      <color rgb="FF000000"/>
      <name val="Arial"/>
      <family val="2"/>
      <charset val="238"/>
    </font>
    <font>
      <sz val="10"/>
      <name val="Helv"/>
    </font>
    <font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CCFFFF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theme="7" tint="0.79998168889431442"/>
        <bgColor indexed="64"/>
      </patternFill>
    </fill>
  </fills>
  <borders count="14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rgb="FF969696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1" fillId="0" borderId="68"/>
    <xf numFmtId="0" fontId="17" fillId="0" borderId="68" applyProtection="0"/>
    <xf numFmtId="0" fontId="17" fillId="0" borderId="68" applyProtection="0"/>
    <xf numFmtId="0" fontId="21" fillId="0" borderId="68"/>
    <xf numFmtId="0" fontId="17" fillId="0" borderId="68" applyProtection="0"/>
    <xf numFmtId="0" fontId="17" fillId="0" borderId="68" applyProtection="0"/>
  </cellStyleXfs>
  <cellXfs count="382">
    <xf numFmtId="0" fontId="0" fillId="0" borderId="0" xfId="0"/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4" fontId="8" fillId="0" borderId="16" xfId="0" applyNumberFormat="1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7" fillId="0" borderId="19" xfId="0" applyFont="1" applyBorder="1" applyAlignment="1">
      <alignment horizontal="left" vertical="center"/>
    </xf>
    <xf numFmtId="4" fontId="8" fillId="0" borderId="23" xfId="0" applyNumberFormat="1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4" fontId="8" fillId="0" borderId="14" xfId="0" applyNumberFormat="1" applyFont="1" applyBorder="1" applyAlignment="1">
      <alignment horizontal="right" vertical="center"/>
    </xf>
    <xf numFmtId="4" fontId="8" fillId="0" borderId="26" xfId="0" applyNumberFormat="1" applyFont="1" applyBorder="1" applyAlignment="1">
      <alignment horizontal="right" vertical="center"/>
    </xf>
    <xf numFmtId="4" fontId="7" fillId="2" borderId="13" xfId="0" applyNumberFormat="1" applyFont="1" applyFill="1" applyBorder="1" applyAlignment="1">
      <alignment horizontal="right" vertical="center"/>
    </xf>
    <xf numFmtId="4" fontId="7" fillId="2" borderId="18" xfId="0" applyNumberFormat="1" applyFont="1" applyFill="1" applyBorder="1" applyAlignment="1">
      <alignment horizontal="right" vertical="center"/>
    </xf>
    <xf numFmtId="0" fontId="9" fillId="0" borderId="40" xfId="0" applyFont="1" applyBorder="1" applyAlignment="1">
      <alignment horizontal="left" vertical="center"/>
    </xf>
    <xf numFmtId="0" fontId="3" fillId="0" borderId="45" xfId="0" applyFont="1" applyBorder="1" applyAlignment="1">
      <alignment horizontal="right" vertical="center"/>
    </xf>
    <xf numFmtId="4" fontId="2" fillId="0" borderId="16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left" vertical="center"/>
    </xf>
    <xf numFmtId="4" fontId="2" fillId="0" borderId="49" xfId="0" applyNumberFormat="1" applyFont="1" applyBorder="1" applyAlignment="1">
      <alignment horizontal="right" vertical="center"/>
    </xf>
    <xf numFmtId="0" fontId="2" fillId="0" borderId="49" xfId="0" applyFont="1" applyBorder="1" applyAlignment="1">
      <alignment horizontal="left" vertical="center"/>
    </xf>
    <xf numFmtId="0" fontId="3" fillId="0" borderId="53" xfId="0" applyFont="1" applyBorder="1" applyAlignment="1">
      <alignment horizontal="left" vertical="center"/>
    </xf>
    <xf numFmtId="0" fontId="3" fillId="0" borderId="53" xfId="0" applyFont="1" applyBorder="1" applyAlignment="1">
      <alignment horizontal="right" vertical="center"/>
    </xf>
    <xf numFmtId="4" fontId="3" fillId="0" borderId="53" xfId="0" applyNumberFormat="1" applyFont="1" applyBorder="1" applyAlignment="1">
      <alignment horizontal="right" vertical="center"/>
    </xf>
    <xf numFmtId="0" fontId="2" fillId="0" borderId="57" xfId="0" applyFont="1" applyBorder="1" applyAlignment="1">
      <alignment horizontal="left" vertical="center"/>
    </xf>
    <xf numFmtId="0" fontId="3" fillId="0" borderId="60" xfId="0" applyFont="1" applyBorder="1" applyAlignment="1">
      <alignment horizontal="left" vertical="center"/>
    </xf>
    <xf numFmtId="0" fontId="3" fillId="0" borderId="6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left" vertical="center"/>
    </xf>
    <xf numFmtId="4" fontId="2" fillId="0" borderId="40" xfId="0" applyNumberFormat="1" applyFont="1" applyBorder="1" applyAlignment="1">
      <alignment horizontal="right" vertical="center"/>
    </xf>
    <xf numFmtId="4" fontId="2" fillId="0" borderId="66" xfId="0" applyNumberFormat="1" applyFont="1" applyBorder="1" applyAlignment="1">
      <alignment horizontal="right" vertical="center"/>
    </xf>
    <xf numFmtId="0" fontId="2" fillId="0" borderId="67" xfId="0" applyFont="1" applyBorder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4" fontId="2" fillId="0" borderId="8" xfId="0" applyNumberFormat="1" applyFont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4" fontId="3" fillId="0" borderId="68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right" vertical="center"/>
    </xf>
    <xf numFmtId="0" fontId="3" fillId="0" borderId="69" xfId="0" applyFont="1" applyBorder="1" applyAlignment="1">
      <alignment horizontal="left" vertical="center"/>
    </xf>
    <xf numFmtId="0" fontId="3" fillId="0" borderId="70" xfId="0" applyFont="1" applyBorder="1" applyAlignment="1">
      <alignment horizontal="left" vertical="center"/>
    </xf>
    <xf numFmtId="0" fontId="3" fillId="0" borderId="70" xfId="0" applyFont="1" applyBorder="1" applyAlignment="1">
      <alignment horizontal="center" vertical="center"/>
    </xf>
    <xf numFmtId="0" fontId="3" fillId="3" borderId="72" xfId="0" applyFont="1" applyFill="1" applyBorder="1" applyAlignment="1" applyProtection="1">
      <alignment horizontal="center" vertical="center"/>
      <protection locked="0"/>
    </xf>
    <xf numFmtId="0" fontId="3" fillId="0" borderId="73" xfId="0" applyFont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74" xfId="0" applyFont="1" applyBorder="1" applyAlignment="1">
      <alignment horizontal="left" vertical="center"/>
    </xf>
    <xf numFmtId="0" fontId="2" fillId="0" borderId="75" xfId="0" applyFont="1" applyBorder="1" applyAlignment="1">
      <alignment horizontal="left" vertical="center"/>
    </xf>
    <xf numFmtId="0" fontId="3" fillId="3" borderId="77" xfId="0" applyFont="1" applyFill="1" applyBorder="1" applyAlignment="1" applyProtection="1">
      <alignment horizontal="center" vertical="center"/>
      <protection locked="0"/>
    </xf>
    <xf numFmtId="0" fontId="3" fillId="0" borderId="78" xfId="0" applyFont="1" applyBorder="1" applyAlignment="1">
      <alignment horizontal="center" vertical="center"/>
    </xf>
    <xf numFmtId="0" fontId="2" fillId="2" borderId="65" xfId="0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left" vertical="center"/>
    </xf>
    <xf numFmtId="0" fontId="2" fillId="2" borderId="40" xfId="0" applyFont="1" applyFill="1" applyBorder="1" applyAlignment="1">
      <alignment horizontal="left" vertical="center"/>
    </xf>
    <xf numFmtId="0" fontId="2" fillId="4" borderId="40" xfId="0" applyFont="1" applyFill="1" applyBorder="1" applyAlignment="1" applyProtection="1">
      <alignment horizontal="left" vertical="center"/>
      <protection locked="0"/>
    </xf>
    <xf numFmtId="4" fontId="3" fillId="2" borderId="40" xfId="0" applyNumberFormat="1" applyFont="1" applyFill="1" applyBorder="1" applyAlignment="1">
      <alignment horizontal="right" vertical="center"/>
    </xf>
    <xf numFmtId="0" fontId="3" fillId="2" borderId="66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4" borderId="0" xfId="0" applyFont="1" applyFill="1" applyAlignment="1" applyProtection="1">
      <alignment horizontal="left" vertical="center"/>
      <protection locked="0"/>
    </xf>
    <xf numFmtId="0" fontId="3" fillId="2" borderId="6" xfId="0" applyFont="1" applyFill="1" applyBorder="1" applyAlignment="1">
      <alignment horizontal="right" vertical="center"/>
    </xf>
    <xf numFmtId="4" fontId="2" fillId="3" borderId="0" xfId="0" applyNumberFormat="1" applyFont="1" applyFill="1" applyAlignment="1" applyProtection="1">
      <alignment horizontal="right" vertical="center"/>
      <protection locked="0"/>
    </xf>
    <xf numFmtId="0" fontId="2" fillId="0" borderId="6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4" fontId="2" fillId="3" borderId="8" xfId="0" applyNumberFormat="1" applyFont="1" applyFill="1" applyBorder="1" applyAlignment="1" applyProtection="1">
      <alignment horizontal="right" vertical="center"/>
      <protection locked="0"/>
    </xf>
    <xf numFmtId="0" fontId="2" fillId="0" borderId="9" xfId="0" applyFont="1" applyBorder="1" applyAlignment="1">
      <alignment horizontal="right" vertical="center"/>
    </xf>
    <xf numFmtId="0" fontId="3" fillId="0" borderId="79" xfId="0" applyFont="1" applyBorder="1" applyAlignment="1">
      <alignment horizontal="left" vertical="center"/>
    </xf>
    <xf numFmtId="0" fontId="3" fillId="0" borderId="80" xfId="0" applyFont="1" applyBorder="1" applyAlignment="1">
      <alignment horizontal="left" vertical="center"/>
    </xf>
    <xf numFmtId="0" fontId="3" fillId="0" borderId="83" xfId="0" applyFont="1" applyBorder="1" applyAlignment="1">
      <alignment horizontal="right" vertical="center"/>
    </xf>
    <xf numFmtId="0" fontId="3" fillId="0" borderId="84" xfId="0" applyFont="1" applyBorder="1" applyAlignment="1">
      <alignment horizontal="left" vertical="center"/>
    </xf>
    <xf numFmtId="0" fontId="3" fillId="2" borderId="65" xfId="0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left" vertical="center"/>
    </xf>
    <xf numFmtId="0" fontId="0" fillId="0" borderId="5" xfId="0" applyBorder="1"/>
    <xf numFmtId="0" fontId="10" fillId="0" borderId="0" xfId="0" applyFont="1" applyAlignment="1">
      <alignment horizontal="left" vertical="center"/>
    </xf>
    <xf numFmtId="4" fontId="10" fillId="0" borderId="0" xfId="0" applyNumberFormat="1" applyFont="1" applyAlignment="1">
      <alignment horizontal="right"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0" fillId="0" borderId="8" xfId="0" applyFont="1" applyBorder="1" applyAlignment="1">
      <alignment horizontal="left" vertical="center"/>
    </xf>
    <xf numFmtId="4" fontId="10" fillId="0" borderId="8" xfId="0" applyNumberFormat="1" applyFont="1" applyBorder="1" applyAlignment="1">
      <alignment horizontal="right" vertical="center"/>
    </xf>
    <xf numFmtId="0" fontId="0" fillId="0" borderId="9" xfId="0" applyBorder="1"/>
    <xf numFmtId="0" fontId="11" fillId="0" borderId="68" xfId="1"/>
    <xf numFmtId="0" fontId="12" fillId="0" borderId="85" xfId="1" applyFont="1" applyBorder="1"/>
    <xf numFmtId="0" fontId="12" fillId="0" borderId="86" xfId="1" applyFont="1" applyBorder="1"/>
    <xf numFmtId="0" fontId="12" fillId="0" borderId="87" xfId="1" applyFont="1" applyBorder="1" applyAlignment="1">
      <alignment wrapText="1"/>
    </xf>
    <xf numFmtId="0" fontId="12" fillId="0" borderId="88" xfId="1" applyFont="1" applyBorder="1" applyAlignment="1">
      <alignment horizontal="center"/>
    </xf>
    <xf numFmtId="0" fontId="12" fillId="0" borderId="89" xfId="1" applyFont="1" applyBorder="1" applyAlignment="1">
      <alignment horizontal="center"/>
    </xf>
    <xf numFmtId="0" fontId="13" fillId="0" borderId="90" xfId="1" applyFont="1" applyBorder="1"/>
    <xf numFmtId="0" fontId="12" fillId="0" borderId="91" xfId="1" applyFont="1" applyBorder="1"/>
    <xf numFmtId="0" fontId="12" fillId="0" borderId="92" xfId="1" applyFont="1" applyBorder="1"/>
    <xf numFmtId="0" fontId="12" fillId="0" borderId="93" xfId="1" applyFont="1" applyBorder="1" applyAlignment="1">
      <alignment wrapText="1"/>
    </xf>
    <xf numFmtId="0" fontId="12" fillId="0" borderId="92" xfId="1" applyFont="1" applyBorder="1" applyAlignment="1">
      <alignment horizontal="center"/>
    </xf>
    <xf numFmtId="0" fontId="12" fillId="0" borderId="94" xfId="1" applyFont="1" applyBorder="1" applyAlignment="1">
      <alignment horizontal="center" wrapText="1"/>
    </xf>
    <xf numFmtId="0" fontId="12" fillId="0" borderId="95" xfId="1" applyFont="1" applyBorder="1" applyAlignment="1">
      <alignment horizontal="left"/>
    </xf>
    <xf numFmtId="0" fontId="11" fillId="0" borderId="85" xfId="1" applyBorder="1"/>
    <xf numFmtId="0" fontId="11" fillId="0" borderId="86" xfId="1" applyBorder="1"/>
    <xf numFmtId="0" fontId="11" fillId="0" borderId="87" xfId="1" applyBorder="1" applyAlignment="1">
      <alignment wrapText="1"/>
    </xf>
    <xf numFmtId="0" fontId="11" fillId="0" borderId="96" xfId="1" applyBorder="1"/>
    <xf numFmtId="0" fontId="13" fillId="0" borderId="97" xfId="1" applyFont="1" applyBorder="1"/>
    <xf numFmtId="0" fontId="14" fillId="0" borderId="98" xfId="1" applyFont="1" applyBorder="1"/>
    <xf numFmtId="0" fontId="15" fillId="0" borderId="99" xfId="1" applyFont="1" applyBorder="1"/>
    <xf numFmtId="0" fontId="14" fillId="0" borderId="99" xfId="1" applyFont="1" applyBorder="1"/>
    <xf numFmtId="0" fontId="11" fillId="0" borderId="99" xfId="1" applyBorder="1"/>
    <xf numFmtId="0" fontId="16" fillId="0" borderId="100" xfId="1" applyFont="1" applyBorder="1"/>
    <xf numFmtId="0" fontId="17" fillId="0" borderId="98" xfId="1" applyFont="1" applyBorder="1"/>
    <xf numFmtId="0" fontId="17" fillId="0" borderId="99" xfId="1" applyFont="1" applyBorder="1"/>
    <xf numFmtId="0" fontId="13" fillId="0" borderId="100" xfId="1" applyFont="1" applyBorder="1"/>
    <xf numFmtId="0" fontId="11" fillId="0" borderId="99" xfId="1" applyBorder="1" applyAlignment="1">
      <alignment horizontal="center"/>
    </xf>
    <xf numFmtId="0" fontId="17" fillId="0" borderId="101" xfId="1" applyFont="1" applyBorder="1" applyAlignment="1">
      <alignment horizontal="left" wrapText="1"/>
    </xf>
    <xf numFmtId="0" fontId="11" fillId="5" borderId="99" xfId="1" applyFill="1" applyBorder="1"/>
    <xf numFmtId="0" fontId="11" fillId="0" borderId="99" xfId="1" applyBorder="1" applyAlignment="1">
      <alignment horizontal="center" wrapText="1"/>
    </xf>
    <xf numFmtId="0" fontId="11" fillId="0" borderId="99" xfId="1" applyBorder="1" applyAlignment="1">
      <alignment wrapText="1"/>
    </xf>
    <xf numFmtId="0" fontId="11" fillId="5" borderId="99" xfId="1" applyFill="1" applyBorder="1" applyAlignment="1">
      <alignment wrapText="1"/>
    </xf>
    <xf numFmtId="0" fontId="13" fillId="0" borderId="100" xfId="1" applyFont="1" applyBorder="1" applyAlignment="1">
      <alignment wrapText="1"/>
    </xf>
    <xf numFmtId="0" fontId="11" fillId="0" borderId="102" xfId="1" applyBorder="1" applyAlignment="1">
      <alignment wrapText="1"/>
    </xf>
    <xf numFmtId="0" fontId="17" fillId="0" borderId="99" xfId="1" applyFont="1" applyBorder="1" applyAlignment="1">
      <alignment horizontal="center"/>
    </xf>
    <xf numFmtId="0" fontId="18" fillId="0" borderId="99" xfId="1" applyFont="1" applyBorder="1" applyAlignment="1">
      <alignment horizontal="left"/>
    </xf>
    <xf numFmtId="0" fontId="18" fillId="0" borderId="103" xfId="1" applyFont="1" applyBorder="1" applyAlignment="1">
      <alignment horizontal="center"/>
    </xf>
    <xf numFmtId="0" fontId="17" fillId="0" borderId="99" xfId="1" applyFont="1" applyBorder="1" applyAlignment="1">
      <alignment horizontal="right"/>
    </xf>
    <xf numFmtId="0" fontId="17" fillId="0" borderId="99" xfId="1" applyFont="1" applyBorder="1" applyAlignment="1">
      <alignment horizontal="left"/>
    </xf>
    <xf numFmtId="0" fontId="17" fillId="5" borderId="99" xfId="1" applyFont="1" applyFill="1" applyBorder="1"/>
    <xf numFmtId="0" fontId="17" fillId="0" borderId="101" xfId="1" applyFont="1" applyBorder="1" applyAlignment="1">
      <alignment wrapText="1"/>
    </xf>
    <xf numFmtId="164" fontId="17" fillId="5" borderId="99" xfId="1" applyNumberFormat="1" applyFont="1" applyFill="1" applyBorder="1" applyAlignment="1">
      <alignment horizontal="right"/>
    </xf>
    <xf numFmtId="0" fontId="17" fillId="0" borderId="104" xfId="1" applyFont="1" applyBorder="1"/>
    <xf numFmtId="0" fontId="17" fillId="0" borderId="105" xfId="1" applyFont="1" applyBorder="1" applyAlignment="1">
      <alignment horizontal="right"/>
    </xf>
    <xf numFmtId="0" fontId="17" fillId="5" borderId="106" xfId="1" applyFont="1" applyFill="1" applyBorder="1" applyAlignment="1">
      <alignment horizontal="right"/>
    </xf>
    <xf numFmtId="0" fontId="17" fillId="0" borderId="99" xfId="1" applyFont="1" applyBorder="1" applyAlignment="1">
      <alignment horizontal="left" wrapText="1"/>
    </xf>
    <xf numFmtId="0" fontId="17" fillId="0" borderId="99" xfId="2" applyBorder="1" applyAlignment="1" applyProtection="1">
      <alignment horizontal="center" wrapText="1"/>
    </xf>
    <xf numFmtId="0" fontId="19" fillId="0" borderId="99" xfId="3" applyFont="1" applyBorder="1" applyAlignment="1" applyProtection="1">
      <alignment wrapText="1"/>
    </xf>
    <xf numFmtId="0" fontId="17" fillId="0" borderId="99" xfId="3" applyBorder="1" applyAlignment="1" applyProtection="1">
      <alignment wrapText="1"/>
    </xf>
    <xf numFmtId="0" fontId="19" fillId="0" borderId="101" xfId="3" applyFont="1" applyBorder="1" applyAlignment="1" applyProtection="1">
      <alignment wrapText="1"/>
    </xf>
    <xf numFmtId="0" fontId="19" fillId="5" borderId="101" xfId="3" applyFont="1" applyFill="1" applyBorder="1" applyAlignment="1" applyProtection="1">
      <alignment wrapText="1"/>
    </xf>
    <xf numFmtId="0" fontId="20" fillId="0" borderId="100" xfId="1" applyFont="1" applyBorder="1" applyAlignment="1">
      <alignment wrapText="1"/>
    </xf>
    <xf numFmtId="0" fontId="17" fillId="0" borderId="99" xfId="2" applyBorder="1" applyAlignment="1" applyProtection="1">
      <alignment horizontal="center"/>
    </xf>
    <xf numFmtId="0" fontId="17" fillId="0" borderId="102" xfId="1" applyFont="1" applyBorder="1" applyAlignment="1">
      <alignment wrapText="1"/>
    </xf>
    <xf numFmtId="0" fontId="17" fillId="0" borderId="99" xfId="1" applyFont="1" applyBorder="1" applyAlignment="1">
      <alignment horizontal="center" wrapText="1"/>
    </xf>
    <xf numFmtId="0" fontId="17" fillId="0" borderId="99" xfId="4" applyFont="1" applyBorder="1" applyAlignment="1">
      <alignment horizontal="right" wrapText="1"/>
    </xf>
    <xf numFmtId="0" fontId="17" fillId="5" borderId="99" xfId="1" applyFont="1" applyFill="1" applyBorder="1" applyAlignment="1">
      <alignment wrapText="1"/>
    </xf>
    <xf numFmtId="0" fontId="17" fillId="0" borderId="107" xfId="1" applyFont="1" applyBorder="1" applyAlignment="1">
      <alignment horizontal="center" wrapText="1"/>
    </xf>
    <xf numFmtId="0" fontId="11" fillId="0" borderId="108" xfId="1" applyBorder="1" applyAlignment="1">
      <alignment wrapText="1"/>
    </xf>
    <xf numFmtId="0" fontId="17" fillId="0" borderId="108" xfId="5" applyBorder="1" applyAlignment="1" applyProtection="1">
      <alignment horizontal="left" wrapText="1"/>
    </xf>
    <xf numFmtId="0" fontId="11" fillId="5" borderId="109" xfId="1" applyFill="1" applyBorder="1" applyAlignment="1">
      <alignment wrapText="1"/>
    </xf>
    <xf numFmtId="0" fontId="11" fillId="0" borderId="108" xfId="1" applyBorder="1"/>
    <xf numFmtId="0" fontId="13" fillId="0" borderId="110" xfId="1" applyFont="1" applyBorder="1" applyAlignment="1">
      <alignment wrapText="1"/>
    </xf>
    <xf numFmtId="0" fontId="17" fillId="0" borderId="111" xfId="3" applyBorder="1" applyAlignment="1" applyProtection="1">
      <alignment wrapText="1"/>
    </xf>
    <xf numFmtId="0" fontId="17" fillId="0" borderId="112" xfId="1" applyFont="1" applyBorder="1" applyAlignment="1">
      <alignment horizontal="center" wrapText="1"/>
    </xf>
    <xf numFmtId="0" fontId="18" fillId="0" borderId="112" xfId="1" applyFont="1" applyBorder="1" applyAlignment="1">
      <alignment wrapText="1"/>
    </xf>
    <xf numFmtId="0" fontId="17" fillId="0" borderId="112" xfId="1" applyFont="1" applyBorder="1" applyAlignment="1">
      <alignment horizontal="left" wrapText="1"/>
    </xf>
    <xf numFmtId="0" fontId="17" fillId="0" borderId="92" xfId="1" applyFont="1" applyBorder="1" applyAlignment="1">
      <alignment wrapText="1"/>
    </xf>
    <xf numFmtId="0" fontId="17" fillId="0" borderId="94" xfId="1" applyFont="1" applyBorder="1" applyAlignment="1">
      <alignment wrapText="1"/>
    </xf>
    <xf numFmtId="0" fontId="11" fillId="0" borderId="112" xfId="1" applyBorder="1" applyAlignment="1">
      <alignment wrapText="1"/>
    </xf>
    <xf numFmtId="0" fontId="22" fillId="0" borderId="113" xfId="1" applyFont="1" applyBorder="1" applyAlignment="1">
      <alignment horizontal="right"/>
    </xf>
    <xf numFmtId="0" fontId="17" fillId="0" borderId="114" xfId="6" applyBorder="1" applyProtection="1"/>
    <xf numFmtId="0" fontId="17" fillId="0" borderId="87" xfId="6" applyBorder="1" applyProtection="1"/>
    <xf numFmtId="0" fontId="17" fillId="0" borderId="87" xfId="6" applyBorder="1" applyAlignment="1" applyProtection="1">
      <alignment horizontal="right"/>
    </xf>
    <xf numFmtId="0" fontId="11" fillId="0" borderId="90" xfId="1" applyBorder="1"/>
    <xf numFmtId="0" fontId="14" fillId="0" borderId="115" xfId="6" applyFont="1" applyBorder="1" applyProtection="1"/>
    <xf numFmtId="0" fontId="14" fillId="0" borderId="68" xfId="6" applyFont="1" applyProtection="1"/>
    <xf numFmtId="0" fontId="14" fillId="0" borderId="68" xfId="6" applyFont="1" applyAlignment="1" applyProtection="1">
      <alignment horizontal="right"/>
    </xf>
    <xf numFmtId="0" fontId="11" fillId="0" borderId="97" xfId="1" applyBorder="1"/>
    <xf numFmtId="0" fontId="17" fillId="0" borderId="116" xfId="6" applyBorder="1" applyProtection="1"/>
    <xf numFmtId="0" fontId="17" fillId="0" borderId="93" xfId="6" applyBorder="1" applyProtection="1"/>
    <xf numFmtId="0" fontId="17" fillId="0" borderId="93" xfId="6" applyBorder="1" applyAlignment="1" applyProtection="1">
      <alignment horizontal="right"/>
    </xf>
    <xf numFmtId="0" fontId="11" fillId="0" borderId="117" xfId="1" applyBorder="1"/>
    <xf numFmtId="0" fontId="12" fillId="0" borderId="85" xfId="1" applyFont="1" applyBorder="1" applyProtection="1">
      <protection locked="0"/>
    </xf>
    <xf numFmtId="0" fontId="12" fillId="0" borderId="86" xfId="1" applyFont="1" applyBorder="1" applyProtection="1">
      <protection locked="0"/>
    </xf>
    <xf numFmtId="0" fontId="12" fillId="0" borderId="87" xfId="1" applyFont="1" applyBorder="1" applyAlignment="1" applyProtection="1">
      <alignment wrapText="1"/>
      <protection locked="0"/>
    </xf>
    <xf numFmtId="0" fontId="12" fillId="0" borderId="88" xfId="1" applyFont="1" applyBorder="1" applyAlignment="1" applyProtection="1">
      <alignment horizontal="center"/>
      <protection locked="0"/>
    </xf>
    <xf numFmtId="0" fontId="12" fillId="0" borderId="89" xfId="1" applyFont="1" applyBorder="1" applyAlignment="1" applyProtection="1">
      <alignment horizontal="center"/>
      <protection locked="0"/>
    </xf>
    <xf numFmtId="0" fontId="13" fillId="0" borderId="90" xfId="1" applyFont="1" applyBorder="1" applyProtection="1">
      <protection locked="0"/>
    </xf>
    <xf numFmtId="0" fontId="12" fillId="0" borderId="91" xfId="1" applyFont="1" applyBorder="1" applyProtection="1">
      <protection locked="0"/>
    </xf>
    <xf numFmtId="0" fontId="12" fillId="0" borderId="92" xfId="1" applyFont="1" applyBorder="1" applyProtection="1">
      <protection locked="0"/>
    </xf>
    <xf numFmtId="0" fontId="12" fillId="0" borderId="93" xfId="1" applyFont="1" applyBorder="1" applyAlignment="1" applyProtection="1">
      <alignment wrapText="1"/>
      <protection locked="0"/>
    </xf>
    <xf numFmtId="0" fontId="12" fillId="0" borderId="92" xfId="1" applyFont="1" applyBorder="1" applyAlignment="1" applyProtection="1">
      <alignment horizontal="center"/>
      <protection locked="0"/>
    </xf>
    <xf numFmtId="0" fontId="12" fillId="0" borderId="94" xfId="1" applyFont="1" applyBorder="1" applyAlignment="1" applyProtection="1">
      <alignment horizontal="center" wrapText="1"/>
      <protection locked="0"/>
    </xf>
    <xf numFmtId="0" fontId="12" fillId="0" borderId="95" xfId="1" applyFont="1" applyBorder="1" applyAlignment="1" applyProtection="1">
      <alignment horizontal="left"/>
      <protection locked="0"/>
    </xf>
    <xf numFmtId="0" fontId="11" fillId="0" borderId="85" xfId="1" applyBorder="1" applyProtection="1">
      <protection locked="0"/>
    </xf>
    <xf numFmtId="0" fontId="11" fillId="0" borderId="86" xfId="1" applyBorder="1" applyProtection="1">
      <protection locked="0"/>
    </xf>
    <xf numFmtId="0" fontId="11" fillId="0" borderId="87" xfId="1" applyBorder="1" applyAlignment="1" applyProtection="1">
      <alignment wrapText="1"/>
      <protection locked="0"/>
    </xf>
    <xf numFmtId="0" fontId="11" fillId="0" borderId="96" xfId="1" applyBorder="1" applyProtection="1">
      <protection locked="0"/>
    </xf>
    <xf numFmtId="0" fontId="13" fillId="0" borderId="97" xfId="1" applyFont="1" applyBorder="1" applyProtection="1">
      <protection locked="0"/>
    </xf>
    <xf numFmtId="0" fontId="14" fillId="0" borderId="98" xfId="1" applyFont="1" applyBorder="1" applyProtection="1">
      <protection locked="0"/>
    </xf>
    <xf numFmtId="0" fontId="15" fillId="0" borderId="108" xfId="1" applyFont="1" applyBorder="1" applyProtection="1">
      <protection locked="0"/>
    </xf>
    <xf numFmtId="0" fontId="14" fillId="0" borderId="108" xfId="1" applyFont="1" applyBorder="1"/>
    <xf numFmtId="0" fontId="11" fillId="0" borderId="108" xfId="1" applyBorder="1" applyProtection="1">
      <protection locked="0"/>
    </xf>
    <xf numFmtId="0" fontId="16" fillId="0" borderId="110" xfId="1" applyFont="1" applyBorder="1" applyProtection="1">
      <protection locked="0"/>
    </xf>
    <xf numFmtId="0" fontId="17" fillId="0" borderId="98" xfId="1" applyFont="1" applyBorder="1" applyProtection="1">
      <protection locked="0"/>
    </xf>
    <xf numFmtId="0" fontId="17" fillId="0" borderId="108" xfId="1" applyFont="1" applyBorder="1"/>
    <xf numFmtId="0" fontId="13" fillId="0" borderId="110" xfId="1" applyFont="1" applyBorder="1" applyProtection="1">
      <protection locked="0"/>
    </xf>
    <xf numFmtId="0" fontId="17" fillId="0" borderId="118" xfId="6" applyBorder="1" applyAlignment="1" applyProtection="1">
      <alignment horizontal="center" wrapText="1"/>
    </xf>
    <xf numFmtId="0" fontId="17" fillId="0" borderId="109" xfId="1" applyFont="1" applyBorder="1" applyAlignment="1">
      <alignment wrapText="1"/>
    </xf>
    <xf numFmtId="0" fontId="11" fillId="5" borderId="108" xfId="1" applyFill="1" applyBorder="1" applyProtection="1">
      <protection locked="0"/>
    </xf>
    <xf numFmtId="0" fontId="12" fillId="0" borderId="110" xfId="1" applyFont="1" applyBorder="1" applyAlignment="1" applyProtection="1">
      <alignment horizontal="left" wrapText="1"/>
      <protection locked="0"/>
    </xf>
    <xf numFmtId="0" fontId="11" fillId="0" borderId="108" xfId="1" applyBorder="1" applyAlignment="1">
      <alignment horizontal="center" wrapText="1"/>
    </xf>
    <xf numFmtId="0" fontId="11" fillId="0" borderId="119" xfId="1" applyBorder="1" applyAlignment="1">
      <alignment wrapText="1"/>
    </xf>
    <xf numFmtId="0" fontId="17" fillId="0" borderId="109" xfId="1" applyFont="1" applyBorder="1" applyAlignment="1">
      <alignment horizontal="center" wrapText="1"/>
    </xf>
    <xf numFmtId="0" fontId="17" fillId="0" borderId="108" xfId="1" applyFont="1" applyBorder="1" applyAlignment="1">
      <alignment wrapText="1"/>
    </xf>
    <xf numFmtId="0" fontId="17" fillId="0" borderId="109" xfId="4" applyFont="1" applyBorder="1" applyAlignment="1">
      <alignment horizontal="right" wrapText="1"/>
    </xf>
    <xf numFmtId="0" fontId="17" fillId="5" borderId="108" xfId="1" applyFont="1" applyFill="1" applyBorder="1" applyAlignment="1" applyProtection="1">
      <alignment wrapText="1"/>
      <protection locked="0"/>
    </xf>
    <xf numFmtId="0" fontId="17" fillId="0" borderId="108" xfId="1" applyFont="1" applyBorder="1" applyAlignment="1">
      <alignment horizontal="center" wrapText="1"/>
    </xf>
    <xf numFmtId="0" fontId="11" fillId="0" borderId="108" xfId="1" applyBorder="1" applyAlignment="1">
      <alignment horizontal="left" wrapText="1"/>
    </xf>
    <xf numFmtId="0" fontId="13" fillId="0" borderId="110" xfId="1" applyFont="1" applyBorder="1" applyAlignment="1" applyProtection="1">
      <alignment wrapText="1"/>
      <protection locked="0"/>
    </xf>
    <xf numFmtId="0" fontId="17" fillId="0" borderId="120" xfId="1" applyFont="1" applyBorder="1" applyAlignment="1">
      <alignment horizontal="center" wrapText="1"/>
    </xf>
    <xf numFmtId="0" fontId="17" fillId="0" borderId="99" xfId="1" applyFont="1" applyBorder="1" applyAlignment="1">
      <alignment wrapText="1"/>
    </xf>
    <xf numFmtId="0" fontId="17" fillId="5" borderId="99" xfId="1" applyFont="1" applyFill="1" applyBorder="1" applyAlignment="1" applyProtection="1">
      <alignment wrapText="1"/>
      <protection locked="0"/>
    </xf>
    <xf numFmtId="0" fontId="11" fillId="0" borderId="99" xfId="1" applyBorder="1" applyProtection="1">
      <protection locked="0"/>
    </xf>
    <xf numFmtId="0" fontId="13" fillId="0" borderId="100" xfId="1" applyFont="1" applyBorder="1" applyAlignment="1" applyProtection="1">
      <alignment wrapText="1"/>
      <protection locked="0"/>
    </xf>
    <xf numFmtId="0" fontId="17" fillId="0" borderId="68" xfId="1" applyFont="1" applyAlignment="1">
      <alignment wrapText="1"/>
    </xf>
    <xf numFmtId="0" fontId="17" fillId="0" borderId="121" xfId="1" applyFont="1" applyBorder="1" applyAlignment="1">
      <alignment horizontal="right" wrapText="1"/>
    </xf>
    <xf numFmtId="0" fontId="17" fillId="5" borderId="122" xfId="1" applyFont="1" applyFill="1" applyBorder="1" applyAlignment="1" applyProtection="1">
      <alignment horizontal="right" wrapText="1"/>
      <protection locked="0"/>
    </xf>
    <xf numFmtId="0" fontId="11" fillId="0" borderId="123" xfId="1" applyBorder="1" applyProtection="1">
      <protection locked="0"/>
    </xf>
    <xf numFmtId="0" fontId="13" fillId="0" borderId="124" xfId="1" applyFont="1" applyBorder="1" applyAlignment="1" applyProtection="1">
      <alignment wrapText="1"/>
      <protection locked="0"/>
    </xf>
    <xf numFmtId="0" fontId="11" fillId="0" borderId="68" xfId="1" applyAlignment="1">
      <alignment wrapText="1"/>
    </xf>
    <xf numFmtId="0" fontId="11" fillId="0" borderId="125" xfId="1" applyBorder="1" applyAlignment="1">
      <alignment wrapText="1"/>
    </xf>
    <xf numFmtId="0" fontId="11" fillId="5" borderId="99" xfId="1" applyFill="1" applyBorder="1" applyProtection="1">
      <protection locked="0"/>
    </xf>
    <xf numFmtId="0" fontId="13" fillId="0" borderId="124" xfId="1" applyFont="1" applyBorder="1" applyProtection="1">
      <protection locked="0"/>
    </xf>
    <xf numFmtId="0" fontId="17" fillId="0" borderId="126" xfId="1" applyFont="1" applyBorder="1" applyAlignment="1">
      <alignment horizontal="left" wrapText="1"/>
    </xf>
    <xf numFmtId="0" fontId="17" fillId="0" borderId="126" xfId="1" applyFont="1" applyBorder="1"/>
    <xf numFmtId="0" fontId="17" fillId="0" borderId="126" xfId="1" applyFont="1" applyBorder="1" applyAlignment="1">
      <alignment horizontal="left"/>
    </xf>
    <xf numFmtId="0" fontId="11" fillId="5" borderId="99" xfId="1" applyFill="1" applyBorder="1" applyAlignment="1">
      <alignment horizontal="right"/>
    </xf>
    <xf numFmtId="0" fontId="17" fillId="0" borderId="127" xfId="1" applyFont="1" applyBorder="1" applyAlignment="1">
      <alignment horizontal="center" wrapText="1"/>
    </xf>
    <xf numFmtId="0" fontId="17" fillId="0" borderId="128" xfId="1" applyFont="1" applyBorder="1" applyAlignment="1">
      <alignment horizontal="left"/>
    </xf>
    <xf numFmtId="0" fontId="17" fillId="0" borderId="128" xfId="4" applyFont="1" applyBorder="1" applyAlignment="1">
      <alignment horizontal="right" wrapText="1"/>
    </xf>
    <xf numFmtId="0" fontId="17" fillId="5" borderId="129" xfId="1" applyFont="1" applyFill="1" applyBorder="1" applyAlignment="1" applyProtection="1">
      <alignment wrapText="1"/>
      <protection locked="0"/>
    </xf>
    <xf numFmtId="0" fontId="11" fillId="0" borderId="128" xfId="1" applyBorder="1" applyProtection="1">
      <protection locked="0"/>
    </xf>
    <xf numFmtId="0" fontId="13" fillId="0" borderId="130" xfId="1" applyFont="1" applyBorder="1" applyProtection="1">
      <protection locked="0"/>
    </xf>
    <xf numFmtId="0" fontId="17" fillId="0" borderId="128" xfId="2" applyBorder="1" applyAlignment="1" applyProtection="1">
      <alignment horizontal="center"/>
    </xf>
    <xf numFmtId="0" fontId="11" fillId="0" borderId="131" xfId="1" applyBorder="1" applyAlignment="1">
      <alignment wrapText="1"/>
    </xf>
    <xf numFmtId="0" fontId="11" fillId="0" borderId="128" xfId="1" applyBorder="1"/>
    <xf numFmtId="0" fontId="11" fillId="5" borderId="128" xfId="1" applyFill="1" applyBorder="1" applyProtection="1">
      <protection locked="0"/>
    </xf>
    <xf numFmtId="0" fontId="13" fillId="0" borderId="130" xfId="1" applyFont="1" applyBorder="1" applyAlignment="1" applyProtection="1">
      <alignment wrapText="1"/>
      <protection locked="0"/>
    </xf>
    <xf numFmtId="0" fontId="17" fillId="0" borderId="128" xfId="1" applyFont="1" applyBorder="1" applyAlignment="1">
      <alignment horizontal="center" wrapText="1"/>
    </xf>
    <xf numFmtId="0" fontId="17" fillId="0" borderId="128" xfId="1" applyFont="1" applyBorder="1" applyAlignment="1">
      <alignment horizontal="right"/>
    </xf>
    <xf numFmtId="0" fontId="17" fillId="5" borderId="128" xfId="1" applyFont="1" applyFill="1" applyBorder="1" applyAlignment="1" applyProtection="1">
      <alignment wrapText="1"/>
      <protection locked="0"/>
    </xf>
    <xf numFmtId="0" fontId="17" fillId="0" borderId="128" xfId="1" applyFont="1" applyBorder="1" applyAlignment="1">
      <alignment horizontal="center"/>
    </xf>
    <xf numFmtId="0" fontId="17" fillId="0" borderId="128" xfId="1" applyFont="1" applyBorder="1" applyAlignment="1">
      <alignment wrapText="1"/>
    </xf>
    <xf numFmtId="0" fontId="17" fillId="0" borderId="128" xfId="1" applyFont="1" applyBorder="1"/>
    <xf numFmtId="0" fontId="17" fillId="0" borderId="129" xfId="1" applyFont="1" applyBorder="1"/>
    <xf numFmtId="0" fontId="17" fillId="5" borderId="128" xfId="1" applyFont="1" applyFill="1" applyBorder="1" applyProtection="1">
      <protection locked="0"/>
    </xf>
    <xf numFmtId="0" fontId="12" fillId="0" borderId="130" xfId="1" applyFont="1" applyBorder="1" applyAlignment="1" applyProtection="1">
      <alignment horizontal="left" wrapText="1"/>
      <protection locked="0"/>
    </xf>
    <xf numFmtId="0" fontId="11" fillId="0" borderId="132" xfId="1" applyBorder="1" applyAlignment="1">
      <alignment wrapText="1"/>
    </xf>
    <xf numFmtId="0" fontId="11" fillId="0" borderId="132" xfId="1" applyBorder="1"/>
    <xf numFmtId="0" fontId="11" fillId="0" borderId="133" xfId="1" applyBorder="1"/>
    <xf numFmtId="0" fontId="11" fillId="5" borderId="118" xfId="1" applyFill="1" applyBorder="1" applyProtection="1">
      <protection locked="0"/>
    </xf>
    <xf numFmtId="0" fontId="13" fillId="0" borderId="134" xfId="1" applyFont="1" applyBorder="1" applyProtection="1">
      <protection locked="0"/>
    </xf>
    <xf numFmtId="0" fontId="11" fillId="0" borderId="135" xfId="1" applyBorder="1" applyAlignment="1">
      <alignment horizontal="left" wrapText="1"/>
    </xf>
    <xf numFmtId="0" fontId="17" fillId="0" borderId="135" xfId="1" applyFont="1" applyBorder="1"/>
    <xf numFmtId="0" fontId="17" fillId="0" borderId="136" xfId="1" applyFont="1" applyBorder="1"/>
    <xf numFmtId="0" fontId="17" fillId="5" borderId="99" xfId="1" applyFont="1" applyFill="1" applyBorder="1" applyProtection="1">
      <protection locked="0"/>
    </xf>
    <xf numFmtId="0" fontId="17" fillId="0" borderId="135" xfId="1" applyFont="1" applyBorder="1" applyAlignment="1">
      <alignment horizontal="left"/>
    </xf>
    <xf numFmtId="0" fontId="11" fillId="0" borderId="137" xfId="1" applyBorder="1" applyAlignment="1">
      <alignment horizontal="left" wrapText="1"/>
    </xf>
    <xf numFmtId="0" fontId="17" fillId="0" borderId="137" xfId="1" applyFont="1" applyBorder="1" applyAlignment="1">
      <alignment horizontal="left"/>
    </xf>
    <xf numFmtId="0" fontId="17" fillId="0" borderId="138" xfId="1" applyFont="1" applyBorder="1" applyAlignment="1">
      <alignment horizontal="right"/>
    </xf>
    <xf numFmtId="0" fontId="17" fillId="5" borderId="139" xfId="1" applyFont="1" applyFill="1" applyBorder="1" applyProtection="1">
      <protection locked="0"/>
    </xf>
    <xf numFmtId="0" fontId="17" fillId="5" borderId="126" xfId="1" applyFont="1" applyFill="1" applyBorder="1" applyAlignment="1">
      <alignment horizontal="right"/>
    </xf>
    <xf numFmtId="0" fontId="12" fillId="0" borderId="140" xfId="1" applyFont="1" applyBorder="1" applyAlignment="1" applyProtection="1">
      <alignment horizontal="left"/>
      <protection locked="0"/>
    </xf>
    <xf numFmtId="0" fontId="11" fillId="0" borderId="99" xfId="1" applyBorder="1" applyAlignment="1">
      <alignment horizontal="left" wrapText="1"/>
    </xf>
    <xf numFmtId="0" fontId="17" fillId="0" borderId="141" xfId="3" applyBorder="1" applyAlignment="1">
      <alignment wrapText="1"/>
    </xf>
    <xf numFmtId="0" fontId="17" fillId="0" borderId="94" xfId="1" applyFont="1" applyBorder="1" applyAlignment="1" applyProtection="1">
      <alignment wrapText="1"/>
      <protection locked="0"/>
    </xf>
    <xf numFmtId="0" fontId="11" fillId="0" borderId="112" xfId="1" applyBorder="1" applyAlignment="1" applyProtection="1">
      <alignment wrapText="1"/>
      <protection locked="0"/>
    </xf>
    <xf numFmtId="0" fontId="22" fillId="0" borderId="142" xfId="1" applyFont="1" applyBorder="1" applyAlignment="1" applyProtection="1">
      <alignment horizontal="right"/>
      <protection locked="0"/>
    </xf>
    <xf numFmtId="0" fontId="17" fillId="0" borderId="114" xfId="6" applyBorder="1"/>
    <xf numFmtId="0" fontId="17" fillId="0" borderId="87" xfId="6" applyBorder="1"/>
    <xf numFmtId="0" fontId="17" fillId="0" borderId="87" xfId="6" applyBorder="1" applyAlignment="1">
      <alignment horizontal="right"/>
    </xf>
    <xf numFmtId="0" fontId="11" fillId="0" borderId="90" xfId="1" applyBorder="1" applyProtection="1">
      <protection locked="0"/>
    </xf>
    <xf numFmtId="0" fontId="14" fillId="0" borderId="115" xfId="6" applyFont="1" applyBorder="1"/>
    <xf numFmtId="0" fontId="14" fillId="0" borderId="68" xfId="6" applyFont="1"/>
    <xf numFmtId="0" fontId="14" fillId="0" borderId="68" xfId="6" applyFont="1" applyAlignment="1">
      <alignment horizontal="right"/>
    </xf>
    <xf numFmtId="0" fontId="11" fillId="0" borderId="97" xfId="1" applyBorder="1" applyProtection="1">
      <protection locked="0"/>
    </xf>
    <xf numFmtId="0" fontId="17" fillId="0" borderId="116" xfId="6" applyBorder="1"/>
    <xf numFmtId="0" fontId="17" fillId="0" borderId="93" xfId="6" applyBorder="1"/>
    <xf numFmtId="0" fontId="17" fillId="0" borderId="93" xfId="6" applyBorder="1" applyAlignment="1">
      <alignment horizontal="right"/>
    </xf>
    <xf numFmtId="0" fontId="11" fillId="0" borderId="117" xfId="1" applyBorder="1" applyProtection="1"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1" fontId="2" fillId="0" borderId="6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2" borderId="25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7" fillId="2" borderId="28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7" fillId="0" borderId="41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7" fillId="0" borderId="50" xfId="0" applyFont="1" applyBorder="1" applyAlignment="1">
      <alignment horizontal="left" vertical="center"/>
    </xf>
    <xf numFmtId="0" fontId="7" fillId="0" borderId="51" xfId="0" applyFont="1" applyBorder="1" applyAlignment="1">
      <alignment horizontal="left" vertical="center"/>
    </xf>
    <xf numFmtId="0" fontId="7" fillId="0" borderId="52" xfId="0" applyFont="1" applyBorder="1" applyAlignment="1">
      <alignment horizontal="left" vertical="center"/>
    </xf>
    <xf numFmtId="4" fontId="7" fillId="0" borderId="54" xfId="0" applyNumberFormat="1" applyFont="1" applyBorder="1" applyAlignment="1">
      <alignment horizontal="right" vertical="center"/>
    </xf>
    <xf numFmtId="0" fontId="7" fillId="0" borderId="51" xfId="0" applyFont="1" applyBorder="1" applyAlignment="1">
      <alignment horizontal="right" vertical="center"/>
    </xf>
    <xf numFmtId="0" fontId="7" fillId="0" borderId="52" xfId="0" applyFont="1" applyBorder="1" applyAlignment="1">
      <alignment horizontal="right" vertical="center"/>
    </xf>
    <xf numFmtId="0" fontId="2" fillId="0" borderId="55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56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59" xfId="0" applyFont="1" applyBorder="1" applyAlignment="1">
      <alignment horizontal="left" vertical="center"/>
    </xf>
    <xf numFmtId="0" fontId="3" fillId="0" borderId="61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62" xfId="0" applyFont="1" applyBorder="1" applyAlignment="1">
      <alignment horizontal="left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2" fillId="0" borderId="40" xfId="0" applyFont="1" applyBorder="1" applyAlignment="1">
      <alignment horizontal="left" vertical="center"/>
    </xf>
    <xf numFmtId="0" fontId="3" fillId="0" borderId="68" xfId="0" applyFont="1" applyBorder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left" vertical="center" wrapText="1"/>
      <protection locked="0"/>
    </xf>
    <xf numFmtId="0" fontId="2" fillId="3" borderId="41" xfId="0" applyFont="1" applyFill="1" applyBorder="1" applyAlignment="1" applyProtection="1">
      <alignment horizontal="left" vertical="center"/>
      <protection locked="0"/>
    </xf>
    <xf numFmtId="0" fontId="2" fillId="3" borderId="56" xfId="0" applyFont="1" applyFill="1" applyBorder="1" applyAlignment="1" applyProtection="1">
      <alignment horizontal="left" vertical="center"/>
      <protection locked="0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3" fillId="0" borderId="76" xfId="0" applyFont="1" applyBorder="1" applyAlignment="1">
      <alignment horizontal="left" vertical="center"/>
    </xf>
    <xf numFmtId="0" fontId="3" fillId="2" borderId="40" xfId="0" applyFont="1" applyFill="1" applyBorder="1" applyAlignment="1">
      <alignment horizontal="left" vertical="center" wrapText="1"/>
    </xf>
    <xf numFmtId="0" fontId="3" fillId="2" borderId="40" xfId="0" applyFont="1" applyFill="1" applyBorder="1" applyAlignment="1">
      <alignment horizontal="left" vertical="center"/>
    </xf>
    <xf numFmtId="0" fontId="3" fillId="0" borderId="58" xfId="0" applyFont="1" applyBorder="1" applyAlignment="1">
      <alignment horizontal="left" vertical="center"/>
    </xf>
    <xf numFmtId="0" fontId="3" fillId="0" borderId="7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3" fillId="0" borderId="81" xfId="0" applyFont="1" applyBorder="1" applyAlignment="1">
      <alignment horizontal="left" vertical="center"/>
    </xf>
    <xf numFmtId="0" fontId="3" fillId="0" borderId="82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</cellXfs>
  <cellStyles count="7">
    <cellStyle name="Normální" xfId="0" builtinId="0"/>
    <cellStyle name="Normální 2" xfId="1" xr:uid="{21DD1024-9AEE-4C4D-A1BF-4E6C319E6DD9}"/>
    <cellStyle name="normální 2 2" xfId="3" xr:uid="{B53DB6E4-3E05-494C-AEF1-4E87D575FEA7}"/>
    <cellStyle name="normální 21" xfId="5" xr:uid="{3329989E-F541-45D0-8FE2-3EEAFD6F9071}"/>
    <cellStyle name="normální 4" xfId="6" xr:uid="{AEBF5327-A358-4CBA-A1DC-8EB5E5462E1D}"/>
    <cellStyle name="normální 8" xfId="2" xr:uid="{9E264B58-BE22-41F9-802F-2D94815565A7}"/>
    <cellStyle name="normální_SK" xfId="4" xr:uid="{60A59EC4-404B-49E9-92E8-9024359980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workbookViewId="0">
      <selection activeCell="A37" sqref="A37:I37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7.140625" customWidth="1"/>
    <col min="4" max="4" width="10" customWidth="1"/>
    <col min="5" max="5" width="14" customWidth="1"/>
    <col min="6" max="6" width="27.140625" customWidth="1"/>
    <col min="7" max="7" width="9.140625" customWidth="1"/>
    <col min="8" max="8" width="12.85546875" customWidth="1"/>
    <col min="9" max="9" width="27.140625" customWidth="1"/>
  </cols>
  <sheetData>
    <row r="1" spans="1:9" ht="54.75" customHeight="1" x14ac:dyDescent="0.25">
      <c r="A1" s="279" t="s">
        <v>0</v>
      </c>
      <c r="B1" s="280"/>
      <c r="C1" s="280"/>
      <c r="D1" s="280"/>
      <c r="E1" s="280"/>
      <c r="F1" s="280"/>
      <c r="G1" s="280"/>
      <c r="H1" s="280"/>
      <c r="I1" s="280"/>
    </row>
    <row r="2" spans="1:9" x14ac:dyDescent="0.25">
      <c r="A2" s="281" t="s">
        <v>1</v>
      </c>
      <c r="B2" s="282"/>
      <c r="C2" s="291" t="str">
        <f>'Stavební rozpočet'!C2</f>
        <v>Stavební úpravy části objektu ZČU - část 2.</v>
      </c>
      <c r="D2" s="292"/>
      <c r="E2" s="286" t="s">
        <v>2</v>
      </c>
      <c r="F2" s="286" t="str">
        <f>'Stavební rozpočet'!I2</f>
        <v>ZČU v Plzni, Univerzitní 2732/8, Plzeň</v>
      </c>
      <c r="G2" s="282"/>
      <c r="H2" s="286" t="s">
        <v>3</v>
      </c>
      <c r="I2" s="288" t="s">
        <v>4</v>
      </c>
    </row>
    <row r="3" spans="1:9" ht="15" customHeight="1" x14ac:dyDescent="0.25">
      <c r="A3" s="283"/>
      <c r="B3" s="284"/>
      <c r="C3" s="293"/>
      <c r="D3" s="293"/>
      <c r="E3" s="284"/>
      <c r="F3" s="284"/>
      <c r="G3" s="284"/>
      <c r="H3" s="284"/>
      <c r="I3" s="289"/>
    </row>
    <row r="4" spans="1:9" x14ac:dyDescent="0.25">
      <c r="A4" s="285" t="s">
        <v>5</v>
      </c>
      <c r="B4" s="284"/>
      <c r="C4" s="287" t="str">
        <f>'Stavební rozpočet'!C4</f>
        <v xml:space="preserve"> </v>
      </c>
      <c r="D4" s="284"/>
      <c r="E4" s="287" t="s">
        <v>6</v>
      </c>
      <c r="F4" s="287" t="str">
        <f>'Stavební rozpočet'!I4</f>
        <v>AIP Plzeň spol. s r.o., Brojova 16, Plzeň</v>
      </c>
      <c r="G4" s="284"/>
      <c r="H4" s="287" t="s">
        <v>3</v>
      </c>
      <c r="I4" s="289" t="s">
        <v>4</v>
      </c>
    </row>
    <row r="5" spans="1:9" ht="15" customHeight="1" x14ac:dyDescent="0.25">
      <c r="A5" s="283"/>
      <c r="B5" s="284"/>
      <c r="C5" s="284"/>
      <c r="D5" s="284"/>
      <c r="E5" s="284"/>
      <c r="F5" s="284"/>
      <c r="G5" s="284"/>
      <c r="H5" s="284"/>
      <c r="I5" s="289"/>
    </row>
    <row r="6" spans="1:9" x14ac:dyDescent="0.25">
      <c r="A6" s="285" t="s">
        <v>7</v>
      </c>
      <c r="B6" s="284"/>
      <c r="C6" s="287" t="str">
        <f>'Stavební rozpočet'!C6</f>
        <v>Sedláčkova 15, Plzeň</v>
      </c>
      <c r="D6" s="284"/>
      <c r="E6" s="287" t="s">
        <v>8</v>
      </c>
      <c r="F6" s="287" t="str">
        <f>'Stavební rozpočet'!I6</f>
        <v> </v>
      </c>
      <c r="G6" s="284"/>
      <c r="H6" s="287" t="s">
        <v>3</v>
      </c>
      <c r="I6" s="289" t="s">
        <v>4</v>
      </c>
    </row>
    <row r="7" spans="1:9" ht="15" customHeight="1" x14ac:dyDescent="0.25">
      <c r="A7" s="283"/>
      <c r="B7" s="284"/>
      <c r="C7" s="284"/>
      <c r="D7" s="284"/>
      <c r="E7" s="284"/>
      <c r="F7" s="284"/>
      <c r="G7" s="284"/>
      <c r="H7" s="284"/>
      <c r="I7" s="289"/>
    </row>
    <row r="8" spans="1:9" x14ac:dyDescent="0.25">
      <c r="A8" s="285" t="s">
        <v>9</v>
      </c>
      <c r="B8" s="284"/>
      <c r="C8" s="287" t="str">
        <f>'Stavební rozpočet'!G4</f>
        <v xml:space="preserve"> </v>
      </c>
      <c r="D8" s="284"/>
      <c r="E8" s="287" t="s">
        <v>10</v>
      </c>
      <c r="F8" s="287" t="str">
        <f>'Stavební rozpočet'!G6</f>
        <v xml:space="preserve"> </v>
      </c>
      <c r="G8" s="284"/>
      <c r="H8" s="284" t="s">
        <v>11</v>
      </c>
      <c r="I8" s="290">
        <v>90</v>
      </c>
    </row>
    <row r="9" spans="1:9" x14ac:dyDescent="0.25">
      <c r="A9" s="283"/>
      <c r="B9" s="284"/>
      <c r="C9" s="284"/>
      <c r="D9" s="284"/>
      <c r="E9" s="284"/>
      <c r="F9" s="284"/>
      <c r="G9" s="284"/>
      <c r="H9" s="284"/>
      <c r="I9" s="289"/>
    </row>
    <row r="10" spans="1:9" x14ac:dyDescent="0.25">
      <c r="A10" s="285" t="s">
        <v>12</v>
      </c>
      <c r="B10" s="284"/>
      <c r="C10" s="287" t="str">
        <f>'Stavební rozpočet'!C8</f>
        <v>8013</v>
      </c>
      <c r="D10" s="284"/>
      <c r="E10" s="287" t="s">
        <v>13</v>
      </c>
      <c r="F10" s="287">
        <f>'Stavební rozpočet'!I8</f>
        <v>0</v>
      </c>
      <c r="G10" s="284"/>
      <c r="H10" s="284" t="s">
        <v>14</v>
      </c>
      <c r="I10" s="295">
        <f>'Stavební rozpočet'!G8</f>
        <v>0</v>
      </c>
    </row>
    <row r="11" spans="1:9" x14ac:dyDescent="0.25">
      <c r="A11" s="300"/>
      <c r="B11" s="294"/>
      <c r="C11" s="294"/>
      <c r="D11" s="294"/>
      <c r="E11" s="294"/>
      <c r="F11" s="294"/>
      <c r="G11" s="294"/>
      <c r="H11" s="294"/>
      <c r="I11" s="296"/>
    </row>
    <row r="12" spans="1:9" ht="23.25" x14ac:dyDescent="0.25">
      <c r="A12" s="297" t="s">
        <v>15</v>
      </c>
      <c r="B12" s="297"/>
      <c r="C12" s="297"/>
      <c r="D12" s="297"/>
      <c r="E12" s="297"/>
      <c r="F12" s="297"/>
      <c r="G12" s="297"/>
      <c r="H12" s="297"/>
      <c r="I12" s="297"/>
    </row>
    <row r="13" spans="1:9" ht="26.25" customHeight="1" x14ac:dyDescent="0.25">
      <c r="A13" s="6" t="s">
        <v>16</v>
      </c>
      <c r="B13" s="298" t="s">
        <v>17</v>
      </c>
      <c r="C13" s="299"/>
      <c r="D13" s="7" t="s">
        <v>18</v>
      </c>
      <c r="E13" s="298" t="s">
        <v>19</v>
      </c>
      <c r="F13" s="299"/>
      <c r="G13" s="7" t="s">
        <v>20</v>
      </c>
      <c r="H13" s="298" t="s">
        <v>21</v>
      </c>
      <c r="I13" s="299"/>
    </row>
    <row r="14" spans="1:9" ht="15.75" x14ac:dyDescent="0.25">
      <c r="A14" s="8" t="s">
        <v>22</v>
      </c>
      <c r="B14" s="9" t="s">
        <v>23</v>
      </c>
      <c r="C14" s="10">
        <f>SUM('Stavební rozpočet'!AB12:AB118)</f>
        <v>0</v>
      </c>
      <c r="D14" s="307" t="s">
        <v>24</v>
      </c>
      <c r="E14" s="308"/>
      <c r="F14" s="10">
        <f>VORN!I15</f>
        <v>0</v>
      </c>
      <c r="G14" s="307" t="s">
        <v>25</v>
      </c>
      <c r="H14" s="308"/>
      <c r="I14" s="11">
        <f>VORN!I21</f>
        <v>0</v>
      </c>
    </row>
    <row r="15" spans="1:9" ht="15.75" x14ac:dyDescent="0.25">
      <c r="A15" s="12" t="s">
        <v>4</v>
      </c>
      <c r="B15" s="9" t="s">
        <v>26</v>
      </c>
      <c r="C15" s="10">
        <f>SUM('Stavební rozpočet'!AC12:AC118)</f>
        <v>0</v>
      </c>
      <c r="D15" s="307" t="s">
        <v>27</v>
      </c>
      <c r="E15" s="308"/>
      <c r="F15" s="10">
        <f>VORN!I16</f>
        <v>0</v>
      </c>
      <c r="G15" s="307" t="s">
        <v>28</v>
      </c>
      <c r="H15" s="308"/>
      <c r="I15" s="11">
        <f>VORN!I22</f>
        <v>0</v>
      </c>
    </row>
    <row r="16" spans="1:9" ht="15.75" x14ac:dyDescent="0.25">
      <c r="A16" s="8" t="s">
        <v>29</v>
      </c>
      <c r="B16" s="9" t="s">
        <v>23</v>
      </c>
      <c r="C16" s="10">
        <f>SUM('Stavební rozpočet'!AD12:AD118)</f>
        <v>0</v>
      </c>
      <c r="D16" s="307" t="s">
        <v>30</v>
      </c>
      <c r="E16" s="308"/>
      <c r="F16" s="10">
        <f>VORN!I17</f>
        <v>0</v>
      </c>
      <c r="G16" s="307" t="s">
        <v>31</v>
      </c>
      <c r="H16" s="308"/>
      <c r="I16" s="11">
        <f>VORN!I23</f>
        <v>0</v>
      </c>
    </row>
    <row r="17" spans="1:9" ht="15.75" x14ac:dyDescent="0.25">
      <c r="A17" s="12" t="s">
        <v>4</v>
      </c>
      <c r="B17" s="9" t="s">
        <v>26</v>
      </c>
      <c r="C17" s="10">
        <f>SUM('Stavební rozpočet'!AE12:AE118)</f>
        <v>0</v>
      </c>
      <c r="D17" s="307" t="s">
        <v>4</v>
      </c>
      <c r="E17" s="308"/>
      <c r="F17" s="11" t="s">
        <v>4</v>
      </c>
      <c r="G17" s="307" t="s">
        <v>32</v>
      </c>
      <c r="H17" s="308"/>
      <c r="I17" s="11">
        <f>VORN!I24</f>
        <v>0</v>
      </c>
    </row>
    <row r="18" spans="1:9" ht="15.75" x14ac:dyDescent="0.25">
      <c r="A18" s="8" t="s">
        <v>33</v>
      </c>
      <c r="B18" s="9" t="s">
        <v>23</v>
      </c>
      <c r="C18" s="10">
        <f>SUM('Stavební rozpočet'!AF12:AF118)</f>
        <v>0</v>
      </c>
      <c r="D18" s="307" t="s">
        <v>4</v>
      </c>
      <c r="E18" s="308"/>
      <c r="F18" s="11" t="s">
        <v>4</v>
      </c>
      <c r="G18" s="307" t="s">
        <v>34</v>
      </c>
      <c r="H18" s="308"/>
      <c r="I18" s="11">
        <f>VORN!I25</f>
        <v>0</v>
      </c>
    </row>
    <row r="19" spans="1:9" ht="15.75" x14ac:dyDescent="0.25">
      <c r="A19" s="12" t="s">
        <v>4</v>
      </c>
      <c r="B19" s="9" t="s">
        <v>26</v>
      </c>
      <c r="C19" s="10">
        <f>SUM('Stavební rozpočet'!AG12:AG118)</f>
        <v>0</v>
      </c>
      <c r="D19" s="307" t="s">
        <v>4</v>
      </c>
      <c r="E19" s="308"/>
      <c r="F19" s="11" t="s">
        <v>4</v>
      </c>
      <c r="G19" s="307" t="s">
        <v>35</v>
      </c>
      <c r="H19" s="308"/>
      <c r="I19" s="11">
        <f>VORN!I26</f>
        <v>0</v>
      </c>
    </row>
    <row r="20" spans="1:9" ht="15.75" x14ac:dyDescent="0.25">
      <c r="A20" s="301" t="s">
        <v>36</v>
      </c>
      <c r="B20" s="302"/>
      <c r="C20" s="10">
        <f>SUM('Stavební rozpočet'!AH12:AH118)</f>
        <v>0</v>
      </c>
      <c r="D20" s="307" t="s">
        <v>4</v>
      </c>
      <c r="E20" s="308"/>
      <c r="F20" s="11" t="s">
        <v>4</v>
      </c>
      <c r="G20" s="307" t="s">
        <v>4</v>
      </c>
      <c r="H20" s="308"/>
      <c r="I20" s="11" t="s">
        <v>4</v>
      </c>
    </row>
    <row r="21" spans="1:9" ht="15.75" x14ac:dyDescent="0.25">
      <c r="A21" s="303" t="s">
        <v>37</v>
      </c>
      <c r="B21" s="304"/>
      <c r="C21" s="13">
        <f>SUM('Stavební rozpočet'!Z12:Z118)</f>
        <v>0</v>
      </c>
      <c r="D21" s="309" t="s">
        <v>4</v>
      </c>
      <c r="E21" s="310"/>
      <c r="F21" s="14" t="s">
        <v>4</v>
      </c>
      <c r="G21" s="309" t="s">
        <v>4</v>
      </c>
      <c r="H21" s="310"/>
      <c r="I21" s="14" t="s">
        <v>4</v>
      </c>
    </row>
    <row r="22" spans="1:9" ht="16.5" customHeight="1" x14ac:dyDescent="0.25">
      <c r="A22" s="305" t="s">
        <v>38</v>
      </c>
      <c r="B22" s="306"/>
      <c r="C22" s="15">
        <f>SUM(C14:C21)</f>
        <v>0</v>
      </c>
      <c r="D22" s="311" t="s">
        <v>39</v>
      </c>
      <c r="E22" s="306"/>
      <c r="F22" s="15">
        <f>SUM(F14:F21)</f>
        <v>0</v>
      </c>
      <c r="G22" s="311" t="s">
        <v>40</v>
      </c>
      <c r="H22" s="306"/>
      <c r="I22" s="15">
        <f>SUM(I14:I21)</f>
        <v>0</v>
      </c>
    </row>
    <row r="23" spans="1:9" ht="15.75" x14ac:dyDescent="0.25">
      <c r="D23" s="301" t="s">
        <v>41</v>
      </c>
      <c r="E23" s="302"/>
      <c r="F23" s="16">
        <v>0</v>
      </c>
      <c r="G23" s="312" t="s">
        <v>42</v>
      </c>
      <c r="H23" s="302"/>
      <c r="I23" s="10">
        <v>0</v>
      </c>
    </row>
    <row r="24" spans="1:9" ht="15.75" x14ac:dyDescent="0.25">
      <c r="G24" s="301" t="s">
        <v>43</v>
      </c>
      <c r="H24" s="302"/>
      <c r="I24" s="13">
        <f>vorn_sum</f>
        <v>0</v>
      </c>
    </row>
    <row r="25" spans="1:9" ht="15.75" x14ac:dyDescent="0.25">
      <c r="G25" s="301" t="s">
        <v>44</v>
      </c>
      <c r="H25" s="302"/>
      <c r="I25" s="15">
        <v>0</v>
      </c>
    </row>
    <row r="27" spans="1:9" ht="15.75" x14ac:dyDescent="0.25">
      <c r="A27" s="313" t="s">
        <v>45</v>
      </c>
      <c r="B27" s="314"/>
      <c r="C27" s="17">
        <f>SUM('Stavební rozpočet'!AJ12:AJ118)</f>
        <v>0</v>
      </c>
    </row>
    <row r="28" spans="1:9" ht="15.75" x14ac:dyDescent="0.25">
      <c r="A28" s="315" t="s">
        <v>46</v>
      </c>
      <c r="B28" s="316"/>
      <c r="C28" s="18">
        <f>SUM('Stavební rozpočet'!AK12:AK118)</f>
        <v>0</v>
      </c>
      <c r="D28" s="317" t="s">
        <v>47</v>
      </c>
      <c r="E28" s="314"/>
      <c r="F28" s="17">
        <f>ROUND(C28*(12/100),2)</f>
        <v>0</v>
      </c>
      <c r="G28" s="317" t="s">
        <v>48</v>
      </c>
      <c r="H28" s="314"/>
      <c r="I28" s="17">
        <f>SUM(C27:C29)</f>
        <v>0</v>
      </c>
    </row>
    <row r="29" spans="1:9" ht="15.75" x14ac:dyDescent="0.25">
      <c r="A29" s="315" t="s">
        <v>49</v>
      </c>
      <c r="B29" s="316"/>
      <c r="C29" s="18">
        <f>SUM('Stavební rozpočet'!AL12:AL118)+(F22+I22+F23+I23+I24+I25)</f>
        <v>0</v>
      </c>
      <c r="D29" s="318" t="s">
        <v>50</v>
      </c>
      <c r="E29" s="316"/>
      <c r="F29" s="18">
        <f>ROUND(C29*(21/100),2)</f>
        <v>0</v>
      </c>
      <c r="G29" s="318" t="s">
        <v>51</v>
      </c>
      <c r="H29" s="316"/>
      <c r="I29" s="18">
        <f>SUM(F28:F29)+I28</f>
        <v>0</v>
      </c>
    </row>
    <row r="31" spans="1:9" x14ac:dyDescent="0.25">
      <c r="A31" s="328" t="s">
        <v>52</v>
      </c>
      <c r="B31" s="320"/>
      <c r="C31" s="321"/>
      <c r="D31" s="319" t="s">
        <v>53</v>
      </c>
      <c r="E31" s="320"/>
      <c r="F31" s="321"/>
      <c r="G31" s="319" t="s">
        <v>54</v>
      </c>
      <c r="H31" s="320"/>
      <c r="I31" s="321"/>
    </row>
    <row r="32" spans="1:9" x14ac:dyDescent="0.25">
      <c r="A32" s="329" t="s">
        <v>4</v>
      </c>
      <c r="B32" s="323"/>
      <c r="C32" s="324"/>
      <c r="D32" s="322" t="s">
        <v>4</v>
      </c>
      <c r="E32" s="323"/>
      <c r="F32" s="324"/>
      <c r="G32" s="322" t="s">
        <v>4</v>
      </c>
      <c r="H32" s="323"/>
      <c r="I32" s="324"/>
    </row>
    <row r="33" spans="1:9" x14ac:dyDescent="0.25">
      <c r="A33" s="329" t="s">
        <v>4</v>
      </c>
      <c r="B33" s="323"/>
      <c r="C33" s="324"/>
      <c r="D33" s="322" t="s">
        <v>4</v>
      </c>
      <c r="E33" s="323"/>
      <c r="F33" s="324"/>
      <c r="G33" s="322" t="s">
        <v>4</v>
      </c>
      <c r="H33" s="323"/>
      <c r="I33" s="324"/>
    </row>
    <row r="34" spans="1:9" x14ac:dyDescent="0.25">
      <c r="A34" s="329" t="s">
        <v>4</v>
      </c>
      <c r="B34" s="323"/>
      <c r="C34" s="324"/>
      <c r="D34" s="322" t="s">
        <v>4</v>
      </c>
      <c r="E34" s="323"/>
      <c r="F34" s="324"/>
      <c r="G34" s="322" t="s">
        <v>4</v>
      </c>
      <c r="H34" s="323"/>
      <c r="I34" s="324"/>
    </row>
    <row r="35" spans="1:9" x14ac:dyDescent="0.25">
      <c r="A35" s="330" t="s">
        <v>55</v>
      </c>
      <c r="B35" s="326"/>
      <c r="C35" s="327"/>
      <c r="D35" s="325" t="s">
        <v>55</v>
      </c>
      <c r="E35" s="326"/>
      <c r="F35" s="327"/>
      <c r="G35" s="325" t="s">
        <v>55</v>
      </c>
      <c r="H35" s="326"/>
      <c r="I35" s="327"/>
    </row>
    <row r="36" spans="1:9" x14ac:dyDescent="0.25">
      <c r="A36" s="19" t="s">
        <v>56</v>
      </c>
    </row>
    <row r="37" spans="1:9" ht="54" customHeight="1" x14ac:dyDescent="0.25">
      <c r="A37" s="287" t="s">
        <v>57</v>
      </c>
      <c r="B37" s="284"/>
      <c r="C37" s="284"/>
      <c r="D37" s="284"/>
      <c r="E37" s="284"/>
      <c r="F37" s="284"/>
      <c r="G37" s="284"/>
      <c r="H37" s="284"/>
      <c r="I37" s="284"/>
    </row>
  </sheetData>
  <sheetProtection password="CC91" sheet="1"/>
  <mergeCells count="83"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I10:I11"/>
    <mergeCell ref="A12:I12"/>
    <mergeCell ref="B13:C13"/>
    <mergeCell ref="E13:F13"/>
    <mergeCell ref="H13:I13"/>
    <mergeCell ref="F10:G11"/>
    <mergeCell ref="A10:B11"/>
    <mergeCell ref="H2:H3"/>
    <mergeCell ref="H4:H5"/>
    <mergeCell ref="H6:H7"/>
    <mergeCell ref="H8:H9"/>
    <mergeCell ref="H10:H11"/>
    <mergeCell ref="C8:D9"/>
    <mergeCell ref="C10:D11"/>
    <mergeCell ref="E2:E3"/>
    <mergeCell ref="E4:E5"/>
    <mergeCell ref="E6:E7"/>
    <mergeCell ref="E8:E9"/>
    <mergeCell ref="E10:E11"/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  <mergeCell ref="C2:D3"/>
    <mergeCell ref="C4:D5"/>
    <mergeCell ref="C6:D7"/>
  </mergeCells>
  <pageMargins left="0.393999993801117" right="0.393999993801117" top="0.59100002050399802" bottom="0.59100002050399802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6"/>
  <sheetViews>
    <sheetView workbookViewId="0">
      <selection activeCell="A36" sqref="A36:E36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7.140625" customWidth="1"/>
    <col min="9" max="9" width="22.85546875" customWidth="1"/>
  </cols>
  <sheetData>
    <row r="1" spans="1:9" ht="54.75" customHeight="1" x14ac:dyDescent="0.25">
      <c r="A1" s="279" t="s">
        <v>58</v>
      </c>
      <c r="B1" s="280"/>
      <c r="C1" s="280"/>
      <c r="D1" s="280"/>
      <c r="E1" s="280"/>
      <c r="F1" s="280"/>
      <c r="G1" s="280"/>
      <c r="H1" s="280"/>
      <c r="I1" s="280"/>
    </row>
    <row r="2" spans="1:9" x14ac:dyDescent="0.25">
      <c r="A2" s="281" t="s">
        <v>1</v>
      </c>
      <c r="B2" s="282"/>
      <c r="C2" s="291" t="str">
        <f>'Stavební rozpočet'!C2</f>
        <v>Stavební úpravy části objektu ZČU - část 2.</v>
      </c>
      <c r="D2" s="292"/>
      <c r="E2" s="286" t="s">
        <v>2</v>
      </c>
      <c r="F2" s="286" t="str">
        <f>'Stavební rozpočet'!I2</f>
        <v>ZČU v Plzni, Univerzitní 2732/8, Plzeň</v>
      </c>
      <c r="G2" s="282"/>
      <c r="H2" s="286" t="s">
        <v>3</v>
      </c>
      <c r="I2" s="288" t="s">
        <v>4</v>
      </c>
    </row>
    <row r="3" spans="1:9" ht="15" customHeight="1" x14ac:dyDescent="0.25">
      <c r="A3" s="283"/>
      <c r="B3" s="284"/>
      <c r="C3" s="293"/>
      <c r="D3" s="293"/>
      <c r="E3" s="284"/>
      <c r="F3" s="284"/>
      <c r="G3" s="284"/>
      <c r="H3" s="284"/>
      <c r="I3" s="289"/>
    </row>
    <row r="4" spans="1:9" x14ac:dyDescent="0.25">
      <c r="A4" s="285" t="s">
        <v>5</v>
      </c>
      <c r="B4" s="284"/>
      <c r="C4" s="287" t="str">
        <f>'Stavební rozpočet'!C4</f>
        <v xml:space="preserve"> </v>
      </c>
      <c r="D4" s="284"/>
      <c r="E4" s="287" t="s">
        <v>6</v>
      </c>
      <c r="F4" s="287" t="str">
        <f>'Stavební rozpočet'!I4</f>
        <v>AIP Plzeň spol. s r.o., Brojova 16, Plzeň</v>
      </c>
      <c r="G4" s="284"/>
      <c r="H4" s="287" t="s">
        <v>3</v>
      </c>
      <c r="I4" s="289" t="s">
        <v>4</v>
      </c>
    </row>
    <row r="5" spans="1:9" ht="15" customHeight="1" x14ac:dyDescent="0.25">
      <c r="A5" s="283"/>
      <c r="B5" s="284"/>
      <c r="C5" s="284"/>
      <c r="D5" s="284"/>
      <c r="E5" s="284"/>
      <c r="F5" s="284"/>
      <c r="G5" s="284"/>
      <c r="H5" s="284"/>
      <c r="I5" s="289"/>
    </row>
    <row r="6" spans="1:9" x14ac:dyDescent="0.25">
      <c r="A6" s="285" t="s">
        <v>7</v>
      </c>
      <c r="B6" s="284"/>
      <c r="C6" s="287" t="str">
        <f>'Stavební rozpočet'!C6</f>
        <v>Sedláčkova 15, Plzeň</v>
      </c>
      <c r="D6" s="284"/>
      <c r="E6" s="287" t="s">
        <v>8</v>
      </c>
      <c r="F6" s="287" t="str">
        <f>'Stavební rozpočet'!I6</f>
        <v> </v>
      </c>
      <c r="G6" s="284"/>
      <c r="H6" s="287" t="s">
        <v>3</v>
      </c>
      <c r="I6" s="289" t="s">
        <v>4</v>
      </c>
    </row>
    <row r="7" spans="1:9" ht="15" customHeight="1" x14ac:dyDescent="0.25">
      <c r="A7" s="283"/>
      <c r="B7" s="284"/>
      <c r="C7" s="284"/>
      <c r="D7" s="284"/>
      <c r="E7" s="284"/>
      <c r="F7" s="284"/>
      <c r="G7" s="284"/>
      <c r="H7" s="284"/>
      <c r="I7" s="289"/>
    </row>
    <row r="8" spans="1:9" x14ac:dyDescent="0.25">
      <c r="A8" s="285" t="s">
        <v>9</v>
      </c>
      <c r="B8" s="284"/>
      <c r="C8" s="287" t="str">
        <f>'Stavební rozpočet'!G4</f>
        <v xml:space="preserve"> </v>
      </c>
      <c r="D8" s="284"/>
      <c r="E8" s="287" t="s">
        <v>10</v>
      </c>
      <c r="F8" s="287" t="str">
        <f>'Stavební rozpočet'!G6</f>
        <v xml:space="preserve"> </v>
      </c>
      <c r="G8" s="284"/>
      <c r="H8" s="284" t="s">
        <v>11</v>
      </c>
      <c r="I8" s="290">
        <v>90</v>
      </c>
    </row>
    <row r="9" spans="1:9" x14ac:dyDescent="0.25">
      <c r="A9" s="283"/>
      <c r="B9" s="284"/>
      <c r="C9" s="284"/>
      <c r="D9" s="284"/>
      <c r="E9" s="284"/>
      <c r="F9" s="284"/>
      <c r="G9" s="284"/>
      <c r="H9" s="284"/>
      <c r="I9" s="289"/>
    </row>
    <row r="10" spans="1:9" x14ac:dyDescent="0.25">
      <c r="A10" s="285" t="s">
        <v>12</v>
      </c>
      <c r="B10" s="284"/>
      <c r="C10" s="287" t="str">
        <f>'Stavební rozpočet'!C8</f>
        <v>8013</v>
      </c>
      <c r="D10" s="284"/>
      <c r="E10" s="287" t="s">
        <v>13</v>
      </c>
      <c r="F10" s="287">
        <f>'Stavební rozpočet'!I8</f>
        <v>0</v>
      </c>
      <c r="G10" s="284"/>
      <c r="H10" s="284" t="s">
        <v>14</v>
      </c>
      <c r="I10" s="295">
        <f>'Stavební rozpočet'!G8</f>
        <v>0</v>
      </c>
    </row>
    <row r="11" spans="1:9" x14ac:dyDescent="0.25">
      <c r="A11" s="300"/>
      <c r="B11" s="294"/>
      <c r="C11" s="294"/>
      <c r="D11" s="294"/>
      <c r="E11" s="294"/>
      <c r="F11" s="294"/>
      <c r="G11" s="294"/>
      <c r="H11" s="294"/>
      <c r="I11" s="296"/>
    </row>
    <row r="13" spans="1:9" ht="15.75" x14ac:dyDescent="0.25">
      <c r="A13" s="331" t="s">
        <v>59</v>
      </c>
      <c r="B13" s="331"/>
      <c r="C13" s="331"/>
      <c r="D13" s="331"/>
      <c r="E13" s="331"/>
    </row>
    <row r="14" spans="1:9" x14ac:dyDescent="0.25">
      <c r="A14" s="332" t="s">
        <v>60</v>
      </c>
      <c r="B14" s="333"/>
      <c r="C14" s="333"/>
      <c r="D14" s="333"/>
      <c r="E14" s="334"/>
      <c r="F14" s="20" t="s">
        <v>61</v>
      </c>
      <c r="G14" s="20" t="s">
        <v>62</v>
      </c>
      <c r="H14" s="20" t="s">
        <v>63</v>
      </c>
      <c r="I14" s="20" t="s">
        <v>61</v>
      </c>
    </row>
    <row r="15" spans="1:9" x14ac:dyDescent="0.25">
      <c r="A15" s="335" t="s">
        <v>24</v>
      </c>
      <c r="B15" s="336"/>
      <c r="C15" s="336"/>
      <c r="D15" s="336"/>
      <c r="E15" s="337"/>
      <c r="F15" s="21">
        <v>0</v>
      </c>
      <c r="G15" s="22" t="s">
        <v>4</v>
      </c>
      <c r="H15" s="22" t="s">
        <v>4</v>
      </c>
      <c r="I15" s="21">
        <f>F15</f>
        <v>0</v>
      </c>
    </row>
    <row r="16" spans="1:9" x14ac:dyDescent="0.25">
      <c r="A16" s="335" t="s">
        <v>27</v>
      </c>
      <c r="B16" s="336"/>
      <c r="C16" s="336"/>
      <c r="D16" s="336"/>
      <c r="E16" s="337"/>
      <c r="F16" s="21">
        <v>0</v>
      </c>
      <c r="G16" s="22" t="s">
        <v>4</v>
      </c>
      <c r="H16" s="22" t="s">
        <v>4</v>
      </c>
      <c r="I16" s="21">
        <f>F16</f>
        <v>0</v>
      </c>
    </row>
    <row r="17" spans="1:9" x14ac:dyDescent="0.25">
      <c r="A17" s="338" t="s">
        <v>30</v>
      </c>
      <c r="B17" s="339"/>
      <c r="C17" s="339"/>
      <c r="D17" s="339"/>
      <c r="E17" s="340"/>
      <c r="F17" s="23">
        <v>0</v>
      </c>
      <c r="G17" s="24" t="s">
        <v>4</v>
      </c>
      <c r="H17" s="24" t="s">
        <v>4</v>
      </c>
      <c r="I17" s="23">
        <f>F17</f>
        <v>0</v>
      </c>
    </row>
    <row r="18" spans="1:9" x14ac:dyDescent="0.25">
      <c r="A18" s="341" t="s">
        <v>64</v>
      </c>
      <c r="B18" s="342"/>
      <c r="C18" s="342"/>
      <c r="D18" s="342"/>
      <c r="E18" s="343"/>
      <c r="F18" s="25" t="s">
        <v>4</v>
      </c>
      <c r="G18" s="26" t="s">
        <v>4</v>
      </c>
      <c r="H18" s="26" t="s">
        <v>4</v>
      </c>
      <c r="I18" s="27">
        <f>SUM(I15:I17)</f>
        <v>0</v>
      </c>
    </row>
    <row r="20" spans="1:9" x14ac:dyDescent="0.25">
      <c r="A20" s="332" t="s">
        <v>21</v>
      </c>
      <c r="B20" s="333"/>
      <c r="C20" s="333"/>
      <c r="D20" s="333"/>
      <c r="E20" s="334"/>
      <c r="F20" s="20" t="s">
        <v>61</v>
      </c>
      <c r="G20" s="20" t="s">
        <v>62</v>
      </c>
      <c r="H20" s="20" t="s">
        <v>63</v>
      </c>
      <c r="I20" s="20" t="s">
        <v>61</v>
      </c>
    </row>
    <row r="21" spans="1:9" x14ac:dyDescent="0.25">
      <c r="A21" s="335" t="s">
        <v>25</v>
      </c>
      <c r="B21" s="336"/>
      <c r="C21" s="336"/>
      <c r="D21" s="336"/>
      <c r="E21" s="337"/>
      <c r="F21" s="22" t="s">
        <v>4</v>
      </c>
      <c r="G21" s="21">
        <v>3.5</v>
      </c>
      <c r="H21" s="21">
        <f>'Krycí list rozpočtu'!C22</f>
        <v>0</v>
      </c>
      <c r="I21" s="21">
        <f>ROUND((G21/100)*H21,2)</f>
        <v>0</v>
      </c>
    </row>
    <row r="22" spans="1:9" x14ac:dyDescent="0.25">
      <c r="A22" s="335" t="s">
        <v>28</v>
      </c>
      <c r="B22" s="336"/>
      <c r="C22" s="336"/>
      <c r="D22" s="336"/>
      <c r="E22" s="337"/>
      <c r="F22" s="21">
        <v>0</v>
      </c>
      <c r="G22" s="22" t="s">
        <v>4</v>
      </c>
      <c r="H22" s="22" t="s">
        <v>4</v>
      </c>
      <c r="I22" s="21">
        <f>F22</f>
        <v>0</v>
      </c>
    </row>
    <row r="23" spans="1:9" x14ac:dyDescent="0.25">
      <c r="A23" s="335" t="s">
        <v>31</v>
      </c>
      <c r="B23" s="336"/>
      <c r="C23" s="336"/>
      <c r="D23" s="336"/>
      <c r="E23" s="337"/>
      <c r="F23" s="21">
        <v>0</v>
      </c>
      <c r="G23" s="22" t="s">
        <v>4</v>
      </c>
      <c r="H23" s="22" t="s">
        <v>4</v>
      </c>
      <c r="I23" s="21">
        <f>F23</f>
        <v>0</v>
      </c>
    </row>
    <row r="24" spans="1:9" x14ac:dyDescent="0.25">
      <c r="A24" s="335" t="s">
        <v>32</v>
      </c>
      <c r="B24" s="336"/>
      <c r="C24" s="336"/>
      <c r="D24" s="336"/>
      <c r="E24" s="337"/>
      <c r="F24" s="21">
        <v>0</v>
      </c>
      <c r="G24" s="22" t="s">
        <v>4</v>
      </c>
      <c r="H24" s="22" t="s">
        <v>4</v>
      </c>
      <c r="I24" s="21">
        <f>F24</f>
        <v>0</v>
      </c>
    </row>
    <row r="25" spans="1:9" x14ac:dyDescent="0.25">
      <c r="A25" s="335" t="s">
        <v>34</v>
      </c>
      <c r="B25" s="336"/>
      <c r="C25" s="336"/>
      <c r="D25" s="336"/>
      <c r="E25" s="337"/>
      <c r="F25" s="21">
        <v>0</v>
      </c>
      <c r="G25" s="22" t="s">
        <v>4</v>
      </c>
      <c r="H25" s="22" t="s">
        <v>4</v>
      </c>
      <c r="I25" s="21">
        <f>F25</f>
        <v>0</v>
      </c>
    </row>
    <row r="26" spans="1:9" x14ac:dyDescent="0.25">
      <c r="A26" s="338" t="s">
        <v>35</v>
      </c>
      <c r="B26" s="339"/>
      <c r="C26" s="339"/>
      <c r="D26" s="339"/>
      <c r="E26" s="340"/>
      <c r="F26" s="23">
        <v>0</v>
      </c>
      <c r="G26" s="24" t="s">
        <v>4</v>
      </c>
      <c r="H26" s="24" t="s">
        <v>4</v>
      </c>
      <c r="I26" s="23">
        <f>F26</f>
        <v>0</v>
      </c>
    </row>
    <row r="27" spans="1:9" x14ac:dyDescent="0.25">
      <c r="A27" s="341" t="s">
        <v>65</v>
      </c>
      <c r="B27" s="342"/>
      <c r="C27" s="342"/>
      <c r="D27" s="342"/>
      <c r="E27" s="343"/>
      <c r="F27" s="25" t="s">
        <v>4</v>
      </c>
      <c r="G27" s="26" t="s">
        <v>4</v>
      </c>
      <c r="H27" s="26" t="s">
        <v>4</v>
      </c>
      <c r="I27" s="27">
        <f>SUM(I21:I26)</f>
        <v>0</v>
      </c>
    </row>
    <row r="29" spans="1:9" ht="15.75" x14ac:dyDescent="0.25">
      <c r="A29" s="344" t="s">
        <v>66</v>
      </c>
      <c r="B29" s="345"/>
      <c r="C29" s="345"/>
      <c r="D29" s="345"/>
      <c r="E29" s="346"/>
      <c r="F29" s="347">
        <f>I18+I27</f>
        <v>0</v>
      </c>
      <c r="G29" s="348"/>
      <c r="H29" s="348"/>
      <c r="I29" s="349"/>
    </row>
    <row r="33" spans="1:9" ht="15.75" x14ac:dyDescent="0.25">
      <c r="A33" s="331" t="s">
        <v>67</v>
      </c>
      <c r="B33" s="331"/>
      <c r="C33" s="331"/>
      <c r="D33" s="331"/>
      <c r="E33" s="331"/>
    </row>
    <row r="34" spans="1:9" x14ac:dyDescent="0.25">
      <c r="A34" s="332" t="s">
        <v>68</v>
      </c>
      <c r="B34" s="333"/>
      <c r="C34" s="333"/>
      <c r="D34" s="333"/>
      <c r="E34" s="334"/>
      <c r="F34" s="20" t="s">
        <v>61</v>
      </c>
      <c r="G34" s="20" t="s">
        <v>62</v>
      </c>
      <c r="H34" s="20" t="s">
        <v>63</v>
      </c>
      <c r="I34" s="20" t="s">
        <v>61</v>
      </c>
    </row>
    <row r="35" spans="1:9" x14ac:dyDescent="0.25">
      <c r="A35" s="338" t="s">
        <v>69</v>
      </c>
      <c r="B35" s="339"/>
      <c r="C35" s="339"/>
      <c r="D35" s="339"/>
      <c r="E35" s="340"/>
      <c r="F35" s="24" t="s">
        <v>4</v>
      </c>
      <c r="G35" s="23">
        <v>1.5</v>
      </c>
      <c r="H35" s="23">
        <f>'Krycí list rozpočtu'!C22</f>
        <v>0</v>
      </c>
      <c r="I35" s="23">
        <f>ROUND((G35/100)*H35,2)</f>
        <v>0</v>
      </c>
    </row>
    <row r="36" spans="1:9" x14ac:dyDescent="0.25">
      <c r="A36" s="341" t="s">
        <v>70</v>
      </c>
      <c r="B36" s="342"/>
      <c r="C36" s="342"/>
      <c r="D36" s="342"/>
      <c r="E36" s="343"/>
      <c r="F36" s="25" t="s">
        <v>4</v>
      </c>
      <c r="G36" s="26" t="s">
        <v>4</v>
      </c>
      <c r="H36" s="26" t="s">
        <v>4</v>
      </c>
      <c r="I36" s="27">
        <f>SUM(I35:I35)</f>
        <v>0</v>
      </c>
    </row>
  </sheetData>
  <sheetProtection password="CC91" sheet="1"/>
  <mergeCells count="51">
    <mergeCell ref="A36:E36"/>
    <mergeCell ref="A29:E29"/>
    <mergeCell ref="F29:I29"/>
    <mergeCell ref="A33:E33"/>
    <mergeCell ref="A34:E34"/>
    <mergeCell ref="A35:E35"/>
    <mergeCell ref="A23:E23"/>
    <mergeCell ref="A24:E24"/>
    <mergeCell ref="A25:E25"/>
    <mergeCell ref="A26:E26"/>
    <mergeCell ref="A27:E27"/>
    <mergeCell ref="A17:E17"/>
    <mergeCell ref="A18:E18"/>
    <mergeCell ref="A20:E20"/>
    <mergeCell ref="A21:E21"/>
    <mergeCell ref="A22:E22"/>
    <mergeCell ref="I10:I11"/>
    <mergeCell ref="A13:E13"/>
    <mergeCell ref="A14:E14"/>
    <mergeCell ref="A15:E15"/>
    <mergeCell ref="A16:E16"/>
    <mergeCell ref="H10:H11"/>
    <mergeCell ref="A10:B11"/>
    <mergeCell ref="C2:D3"/>
    <mergeCell ref="C4:D5"/>
    <mergeCell ref="C6:D7"/>
    <mergeCell ref="C8:D9"/>
    <mergeCell ref="C10:D11"/>
    <mergeCell ref="E8:E9"/>
    <mergeCell ref="E10:E11"/>
    <mergeCell ref="F2:G3"/>
    <mergeCell ref="F4:G5"/>
    <mergeCell ref="F6:G7"/>
    <mergeCell ref="F8:G9"/>
    <mergeCell ref="F10:G11"/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1"/>
  <sheetViews>
    <sheetView workbookViewId="0">
      <pane ySplit="11" topLeftCell="A12" activePane="bottomLeft" state="frozen"/>
      <selection pane="bottomLeft" activeCell="A31" sqref="A31:L31"/>
    </sheetView>
  </sheetViews>
  <sheetFormatPr defaultColWidth="12.140625" defaultRowHeight="15" customHeight="1" x14ac:dyDescent="0.25"/>
  <cols>
    <col min="1" max="1" width="5.7109375" customWidth="1"/>
    <col min="2" max="9" width="15.7109375" customWidth="1"/>
    <col min="10" max="12" width="14.28515625" customWidth="1"/>
    <col min="13" max="16" width="12.140625" hidden="1"/>
  </cols>
  <sheetData>
    <row r="1" spans="1:16" ht="54.75" customHeight="1" x14ac:dyDescent="0.25">
      <c r="A1" s="280" t="s">
        <v>71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</row>
    <row r="2" spans="1:16" x14ac:dyDescent="0.25">
      <c r="A2" s="281" t="s">
        <v>1</v>
      </c>
      <c r="B2" s="282"/>
      <c r="C2" s="282"/>
      <c r="D2" s="291" t="str">
        <f>'Stavební rozpočet'!C2</f>
        <v>Stavební úpravy části objektu ZČU - část 2.</v>
      </c>
      <c r="E2" s="292"/>
      <c r="F2" s="292"/>
      <c r="G2" s="286" t="s">
        <v>72</v>
      </c>
      <c r="H2" s="286" t="str">
        <f>'Stavební rozpočet'!G2</f>
        <v xml:space="preserve"> </v>
      </c>
      <c r="I2" s="286" t="s">
        <v>2</v>
      </c>
      <c r="J2" s="286" t="str">
        <f>'Stavební rozpočet'!I2</f>
        <v>ZČU v Plzni, Univerzitní 2732/8, Plzeň</v>
      </c>
      <c r="K2" s="282"/>
      <c r="L2" s="288"/>
    </row>
    <row r="3" spans="1:16" ht="15" customHeight="1" x14ac:dyDescent="0.25">
      <c r="A3" s="283"/>
      <c r="B3" s="284"/>
      <c r="C3" s="284"/>
      <c r="D3" s="293"/>
      <c r="E3" s="293"/>
      <c r="F3" s="293"/>
      <c r="G3" s="284"/>
      <c r="H3" s="284"/>
      <c r="I3" s="284"/>
      <c r="J3" s="284"/>
      <c r="K3" s="284"/>
      <c r="L3" s="289"/>
    </row>
    <row r="4" spans="1:16" x14ac:dyDescent="0.25">
      <c r="A4" s="285" t="s">
        <v>5</v>
      </c>
      <c r="B4" s="284"/>
      <c r="C4" s="284"/>
      <c r="D4" s="287" t="str">
        <f>'Stavební rozpočet'!C4</f>
        <v xml:space="preserve"> </v>
      </c>
      <c r="E4" s="284"/>
      <c r="F4" s="284"/>
      <c r="G4" s="287" t="s">
        <v>9</v>
      </c>
      <c r="H4" s="287" t="str">
        <f>'Stavební rozpočet'!G4</f>
        <v xml:space="preserve"> </v>
      </c>
      <c r="I4" s="287" t="s">
        <v>6</v>
      </c>
      <c r="J4" s="287" t="str">
        <f>'Stavební rozpočet'!I4</f>
        <v>AIP Plzeň spol. s r.o., Brojova 16, Plzeň</v>
      </c>
      <c r="K4" s="284"/>
      <c r="L4" s="289"/>
    </row>
    <row r="5" spans="1:16" ht="15" customHeight="1" x14ac:dyDescent="0.25">
      <c r="A5" s="283"/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9"/>
    </row>
    <row r="6" spans="1:16" x14ac:dyDescent="0.25">
      <c r="A6" s="285" t="s">
        <v>7</v>
      </c>
      <c r="B6" s="284"/>
      <c r="C6" s="284"/>
      <c r="D6" s="287" t="str">
        <f>'Stavební rozpočet'!C6</f>
        <v>Sedláčkova 15, Plzeň</v>
      </c>
      <c r="E6" s="284"/>
      <c r="F6" s="284"/>
      <c r="G6" s="287" t="s">
        <v>10</v>
      </c>
      <c r="H6" s="287" t="str">
        <f>'Stavební rozpočet'!G6</f>
        <v xml:space="preserve"> </v>
      </c>
      <c r="I6" s="287" t="s">
        <v>8</v>
      </c>
      <c r="J6" s="287" t="str">
        <f>'Stavební rozpočet'!I6</f>
        <v> </v>
      </c>
      <c r="K6" s="284"/>
      <c r="L6" s="289"/>
    </row>
    <row r="7" spans="1:16" ht="15" customHeight="1" x14ac:dyDescent="0.25">
      <c r="A7" s="283"/>
      <c r="B7" s="284"/>
      <c r="C7" s="284"/>
      <c r="D7" s="284"/>
      <c r="E7" s="284"/>
      <c r="F7" s="284"/>
      <c r="G7" s="284"/>
      <c r="H7" s="284"/>
      <c r="I7" s="284"/>
      <c r="J7" s="284"/>
      <c r="K7" s="284"/>
      <c r="L7" s="289"/>
    </row>
    <row r="8" spans="1:16" x14ac:dyDescent="0.25">
      <c r="A8" s="285" t="s">
        <v>12</v>
      </c>
      <c r="B8" s="284"/>
      <c r="C8" s="284"/>
      <c r="D8" s="287" t="str">
        <f>'Stavební rozpočet'!C8</f>
        <v>8013</v>
      </c>
      <c r="E8" s="284"/>
      <c r="F8" s="284"/>
      <c r="G8" s="287" t="s">
        <v>73</v>
      </c>
      <c r="H8" s="287">
        <f>'Stavební rozpočet'!G8</f>
        <v>0</v>
      </c>
      <c r="I8" s="287" t="s">
        <v>13</v>
      </c>
      <c r="J8" s="287">
        <f>'Stavební rozpočet'!I8</f>
        <v>0</v>
      </c>
      <c r="K8" s="284"/>
      <c r="L8" s="289"/>
    </row>
    <row r="9" spans="1:16" x14ac:dyDescent="0.25">
      <c r="A9" s="350"/>
      <c r="B9" s="351"/>
      <c r="C9" s="351"/>
      <c r="D9" s="351"/>
      <c r="E9" s="351"/>
      <c r="F9" s="351"/>
      <c r="G9" s="351"/>
      <c r="H9" s="351"/>
      <c r="I9" s="351"/>
      <c r="J9" s="351"/>
      <c r="K9" s="351"/>
      <c r="L9" s="352"/>
    </row>
    <row r="10" spans="1:16" x14ac:dyDescent="0.25">
      <c r="A10" s="28" t="s">
        <v>74</v>
      </c>
      <c r="B10" s="353" t="s">
        <v>74</v>
      </c>
      <c r="C10" s="354"/>
      <c r="D10" s="354"/>
      <c r="E10" s="354"/>
      <c r="F10" s="354"/>
      <c r="G10" s="354"/>
      <c r="H10" s="354"/>
      <c r="I10" s="355"/>
      <c r="J10" s="359" t="s">
        <v>75</v>
      </c>
      <c r="K10" s="360"/>
      <c r="L10" s="361"/>
    </row>
    <row r="11" spans="1:16" x14ac:dyDescent="0.25">
      <c r="A11" s="29" t="s">
        <v>76</v>
      </c>
      <c r="B11" s="356" t="s">
        <v>77</v>
      </c>
      <c r="C11" s="357"/>
      <c r="D11" s="357"/>
      <c r="E11" s="357"/>
      <c r="F11" s="357"/>
      <c r="G11" s="357"/>
      <c r="H11" s="357"/>
      <c r="I11" s="358"/>
      <c r="J11" s="30" t="s">
        <v>78</v>
      </c>
      <c r="K11" s="31" t="s">
        <v>26</v>
      </c>
      <c r="L11" s="32" t="s">
        <v>79</v>
      </c>
    </row>
    <row r="12" spans="1:16" x14ac:dyDescent="0.25">
      <c r="A12" s="33" t="s">
        <v>4</v>
      </c>
      <c r="B12" s="362" t="s">
        <v>80</v>
      </c>
      <c r="C12" s="362"/>
      <c r="D12" s="362"/>
      <c r="E12" s="362"/>
      <c r="F12" s="362"/>
      <c r="G12" s="362"/>
      <c r="H12" s="362"/>
      <c r="I12" s="362"/>
      <c r="J12" s="34">
        <f>'Stavební rozpočet'!H12</f>
        <v>0</v>
      </c>
      <c r="K12" s="34">
        <f>'Stavební rozpočet'!I12</f>
        <v>0</v>
      </c>
      <c r="L12" s="35">
        <f>'Stavební rozpočet'!J12</f>
        <v>0</v>
      </c>
      <c r="M12" s="36" t="s">
        <v>81</v>
      </c>
      <c r="N12" s="37">
        <f t="shared" ref="N12:N28" si="0">IF(M12="F",0,L12)</f>
        <v>0</v>
      </c>
      <c r="O12" s="2" t="s">
        <v>82</v>
      </c>
      <c r="P12" s="37">
        <f t="shared" ref="P12:P28" si="1">IF(M12="T",0,L12)</f>
        <v>0</v>
      </c>
    </row>
    <row r="13" spans="1:16" x14ac:dyDescent="0.25">
      <c r="A13" s="1" t="s">
        <v>83</v>
      </c>
      <c r="B13" s="284" t="s">
        <v>84</v>
      </c>
      <c r="C13" s="284"/>
      <c r="D13" s="284"/>
      <c r="E13" s="284"/>
      <c r="F13" s="284"/>
      <c r="G13" s="284"/>
      <c r="H13" s="284"/>
      <c r="I13" s="284"/>
      <c r="J13" s="37">
        <f>'Stavební rozpočet'!H13</f>
        <v>0</v>
      </c>
      <c r="K13" s="37">
        <f>'Stavební rozpočet'!I13</f>
        <v>0</v>
      </c>
      <c r="L13" s="38">
        <f>'Stavební rozpočet'!J13</f>
        <v>0</v>
      </c>
      <c r="M13" s="36" t="s">
        <v>85</v>
      </c>
      <c r="N13" s="37">
        <f t="shared" si="0"/>
        <v>0</v>
      </c>
      <c r="O13" s="2" t="s">
        <v>82</v>
      </c>
      <c r="P13" s="37">
        <f t="shared" si="1"/>
        <v>0</v>
      </c>
    </row>
    <row r="14" spans="1:16" x14ac:dyDescent="0.25">
      <c r="A14" s="1" t="s">
        <v>86</v>
      </c>
      <c r="B14" s="284" t="s">
        <v>87</v>
      </c>
      <c r="C14" s="284"/>
      <c r="D14" s="284"/>
      <c r="E14" s="284"/>
      <c r="F14" s="284"/>
      <c r="G14" s="284"/>
      <c r="H14" s="284"/>
      <c r="I14" s="284"/>
      <c r="J14" s="37">
        <f>'Stavební rozpočet'!H15</f>
        <v>0</v>
      </c>
      <c r="K14" s="37">
        <f>'Stavební rozpočet'!I15</f>
        <v>0</v>
      </c>
      <c r="L14" s="38">
        <f>'Stavební rozpočet'!J15</f>
        <v>0</v>
      </c>
      <c r="M14" s="36" t="s">
        <v>85</v>
      </c>
      <c r="N14" s="37">
        <f t="shared" si="0"/>
        <v>0</v>
      </c>
      <c r="O14" s="2" t="s">
        <v>82</v>
      </c>
      <c r="P14" s="37">
        <f t="shared" si="1"/>
        <v>0</v>
      </c>
    </row>
    <row r="15" spans="1:16" x14ac:dyDescent="0.25">
      <c r="A15" s="1" t="s">
        <v>88</v>
      </c>
      <c r="B15" s="284" t="s">
        <v>89</v>
      </c>
      <c r="C15" s="284"/>
      <c r="D15" s="284"/>
      <c r="E15" s="284"/>
      <c r="F15" s="284"/>
      <c r="G15" s="284"/>
      <c r="H15" s="284"/>
      <c r="I15" s="284"/>
      <c r="J15" s="37">
        <f>'Stavební rozpočet'!H19</f>
        <v>0</v>
      </c>
      <c r="K15" s="37">
        <f>'Stavební rozpočet'!I19</f>
        <v>0</v>
      </c>
      <c r="L15" s="38">
        <f>'Stavební rozpočet'!J19</f>
        <v>0</v>
      </c>
      <c r="M15" s="36" t="s">
        <v>85</v>
      </c>
      <c r="N15" s="37">
        <f t="shared" si="0"/>
        <v>0</v>
      </c>
      <c r="O15" s="2" t="s">
        <v>82</v>
      </c>
      <c r="P15" s="37">
        <f t="shared" si="1"/>
        <v>0</v>
      </c>
    </row>
    <row r="16" spans="1:16" x14ac:dyDescent="0.25">
      <c r="A16" s="1" t="s">
        <v>90</v>
      </c>
      <c r="B16" s="284" t="s">
        <v>91</v>
      </c>
      <c r="C16" s="284"/>
      <c r="D16" s="284"/>
      <c r="E16" s="284"/>
      <c r="F16" s="284"/>
      <c r="G16" s="284"/>
      <c r="H16" s="284"/>
      <c r="I16" s="284"/>
      <c r="J16" s="37">
        <f>'Stavební rozpočet'!H22</f>
        <v>0</v>
      </c>
      <c r="K16" s="37">
        <f>'Stavební rozpočet'!I22</f>
        <v>0</v>
      </c>
      <c r="L16" s="38">
        <f>'Stavební rozpočet'!J22</f>
        <v>0</v>
      </c>
      <c r="M16" s="36" t="s">
        <v>85</v>
      </c>
      <c r="N16" s="37">
        <f t="shared" si="0"/>
        <v>0</v>
      </c>
      <c r="O16" s="2" t="s">
        <v>82</v>
      </c>
      <c r="P16" s="37">
        <f t="shared" si="1"/>
        <v>0</v>
      </c>
    </row>
    <row r="17" spans="1:16" x14ac:dyDescent="0.25">
      <c r="A17" s="1" t="s">
        <v>92</v>
      </c>
      <c r="B17" s="284" t="s">
        <v>93</v>
      </c>
      <c r="C17" s="284"/>
      <c r="D17" s="284"/>
      <c r="E17" s="284"/>
      <c r="F17" s="284"/>
      <c r="G17" s="284"/>
      <c r="H17" s="284"/>
      <c r="I17" s="284"/>
      <c r="J17" s="37">
        <f>'Stavební rozpočet'!H27</f>
        <v>0</v>
      </c>
      <c r="K17" s="37">
        <f>'Stavební rozpočet'!I27</f>
        <v>0</v>
      </c>
      <c r="L17" s="38">
        <f>'Stavební rozpočet'!J27</f>
        <v>0</v>
      </c>
      <c r="M17" s="36" t="s">
        <v>85</v>
      </c>
      <c r="N17" s="37">
        <f t="shared" si="0"/>
        <v>0</v>
      </c>
      <c r="O17" s="2" t="s">
        <v>82</v>
      </c>
      <c r="P17" s="37">
        <f t="shared" si="1"/>
        <v>0</v>
      </c>
    </row>
    <row r="18" spans="1:16" x14ac:dyDescent="0.25">
      <c r="A18" s="1" t="s">
        <v>94</v>
      </c>
      <c r="B18" s="284" t="s">
        <v>95</v>
      </c>
      <c r="C18" s="284"/>
      <c r="D18" s="284"/>
      <c r="E18" s="284"/>
      <c r="F18" s="284"/>
      <c r="G18" s="284"/>
      <c r="H18" s="284"/>
      <c r="I18" s="284"/>
      <c r="J18" s="37">
        <f>'Stavební rozpočet'!H40</f>
        <v>0</v>
      </c>
      <c r="K18" s="37">
        <f>'Stavební rozpočet'!I40</f>
        <v>0</v>
      </c>
      <c r="L18" s="38">
        <f>'Stavební rozpočet'!J40</f>
        <v>0</v>
      </c>
      <c r="M18" s="36" t="s">
        <v>85</v>
      </c>
      <c r="N18" s="37">
        <f t="shared" si="0"/>
        <v>0</v>
      </c>
      <c r="O18" s="2" t="s">
        <v>82</v>
      </c>
      <c r="P18" s="37">
        <f t="shared" si="1"/>
        <v>0</v>
      </c>
    </row>
    <row r="19" spans="1:16" x14ac:dyDescent="0.25">
      <c r="A19" s="1" t="s">
        <v>96</v>
      </c>
      <c r="B19" s="284" t="s">
        <v>97</v>
      </c>
      <c r="C19" s="284"/>
      <c r="D19" s="284"/>
      <c r="E19" s="284"/>
      <c r="F19" s="284"/>
      <c r="G19" s="284"/>
      <c r="H19" s="284"/>
      <c r="I19" s="284"/>
      <c r="J19" s="37">
        <f>'Stavební rozpočet'!H55</f>
        <v>0</v>
      </c>
      <c r="K19" s="37">
        <f>'Stavební rozpočet'!I55</f>
        <v>0</v>
      </c>
      <c r="L19" s="38">
        <f>'Stavební rozpočet'!J55</f>
        <v>0</v>
      </c>
      <c r="M19" s="36" t="s">
        <v>85</v>
      </c>
      <c r="N19" s="37">
        <f t="shared" si="0"/>
        <v>0</v>
      </c>
      <c r="O19" s="2" t="s">
        <v>82</v>
      </c>
      <c r="P19" s="37">
        <f t="shared" si="1"/>
        <v>0</v>
      </c>
    </row>
    <row r="20" spans="1:16" x14ac:dyDescent="0.25">
      <c r="A20" s="1" t="s">
        <v>98</v>
      </c>
      <c r="B20" s="284" t="s">
        <v>99</v>
      </c>
      <c r="C20" s="284"/>
      <c r="D20" s="284"/>
      <c r="E20" s="284"/>
      <c r="F20" s="284"/>
      <c r="G20" s="284"/>
      <c r="H20" s="284"/>
      <c r="I20" s="284"/>
      <c r="J20" s="37">
        <f>'Stavební rozpočet'!H66</f>
        <v>0</v>
      </c>
      <c r="K20" s="37">
        <f>'Stavební rozpočet'!I66</f>
        <v>0</v>
      </c>
      <c r="L20" s="38">
        <f>'Stavební rozpočet'!J66</f>
        <v>0</v>
      </c>
      <c r="M20" s="36" t="s">
        <v>85</v>
      </c>
      <c r="N20" s="37">
        <f t="shared" si="0"/>
        <v>0</v>
      </c>
      <c r="O20" s="2" t="s">
        <v>82</v>
      </c>
      <c r="P20" s="37">
        <f t="shared" si="1"/>
        <v>0</v>
      </c>
    </row>
    <row r="21" spans="1:16" x14ac:dyDescent="0.25">
      <c r="A21" s="1" t="s">
        <v>100</v>
      </c>
      <c r="B21" s="284" t="s">
        <v>101</v>
      </c>
      <c r="C21" s="284"/>
      <c r="D21" s="284"/>
      <c r="E21" s="284"/>
      <c r="F21" s="284"/>
      <c r="G21" s="284"/>
      <c r="H21" s="284"/>
      <c r="I21" s="284"/>
      <c r="J21" s="37">
        <f>'Stavební rozpočet'!H76</f>
        <v>0</v>
      </c>
      <c r="K21" s="37">
        <f>'Stavební rozpočet'!I76</f>
        <v>0</v>
      </c>
      <c r="L21" s="38">
        <f>'Stavební rozpočet'!J76</f>
        <v>0</v>
      </c>
      <c r="M21" s="36" t="s">
        <v>85</v>
      </c>
      <c r="N21" s="37">
        <f t="shared" si="0"/>
        <v>0</v>
      </c>
      <c r="O21" s="2" t="s">
        <v>82</v>
      </c>
      <c r="P21" s="37">
        <f t="shared" si="1"/>
        <v>0</v>
      </c>
    </row>
    <row r="22" spans="1:16" x14ac:dyDescent="0.25">
      <c r="A22" s="1" t="s">
        <v>102</v>
      </c>
      <c r="B22" s="284" t="s">
        <v>103</v>
      </c>
      <c r="C22" s="284"/>
      <c r="D22" s="284"/>
      <c r="E22" s="284"/>
      <c r="F22" s="284"/>
      <c r="G22" s="284"/>
      <c r="H22" s="284"/>
      <c r="I22" s="284"/>
      <c r="J22" s="37">
        <f>'Stavební rozpočet'!H83</f>
        <v>0</v>
      </c>
      <c r="K22" s="37">
        <f>'Stavební rozpočet'!I83</f>
        <v>0</v>
      </c>
      <c r="L22" s="38">
        <f>'Stavební rozpočet'!J83</f>
        <v>0</v>
      </c>
      <c r="M22" s="36" t="s">
        <v>85</v>
      </c>
      <c r="N22" s="37">
        <f t="shared" si="0"/>
        <v>0</v>
      </c>
      <c r="O22" s="2" t="s">
        <v>82</v>
      </c>
      <c r="P22" s="37">
        <f t="shared" si="1"/>
        <v>0</v>
      </c>
    </row>
    <row r="23" spans="1:16" x14ac:dyDescent="0.25">
      <c r="A23" s="1" t="s">
        <v>104</v>
      </c>
      <c r="B23" s="284" t="s">
        <v>105</v>
      </c>
      <c r="C23" s="284"/>
      <c r="D23" s="284"/>
      <c r="E23" s="284"/>
      <c r="F23" s="284"/>
      <c r="G23" s="284"/>
      <c r="H23" s="284"/>
      <c r="I23" s="284"/>
      <c r="J23" s="37">
        <f>'Stavební rozpočet'!H90</f>
        <v>0</v>
      </c>
      <c r="K23" s="37">
        <f>'Stavební rozpočet'!I90</f>
        <v>0</v>
      </c>
      <c r="L23" s="38">
        <f>'Stavební rozpočet'!J90</f>
        <v>0</v>
      </c>
      <c r="M23" s="36" t="s">
        <v>85</v>
      </c>
      <c r="N23" s="37">
        <f t="shared" si="0"/>
        <v>0</v>
      </c>
      <c r="O23" s="2" t="s">
        <v>82</v>
      </c>
      <c r="P23" s="37">
        <f t="shared" si="1"/>
        <v>0</v>
      </c>
    </row>
    <row r="24" spans="1:16" x14ac:dyDescent="0.25">
      <c r="A24" s="1" t="s">
        <v>106</v>
      </c>
      <c r="B24" s="284" t="s">
        <v>107</v>
      </c>
      <c r="C24" s="284"/>
      <c r="D24" s="284"/>
      <c r="E24" s="284"/>
      <c r="F24" s="284"/>
      <c r="G24" s="284"/>
      <c r="H24" s="284"/>
      <c r="I24" s="284"/>
      <c r="J24" s="37">
        <f>'Stavební rozpočet'!H97</f>
        <v>0</v>
      </c>
      <c r="K24" s="37">
        <f>'Stavební rozpočet'!I97</f>
        <v>0</v>
      </c>
      <c r="L24" s="38">
        <f>'Stavební rozpočet'!J97</f>
        <v>0</v>
      </c>
      <c r="M24" s="36" t="s">
        <v>85</v>
      </c>
      <c r="N24" s="37">
        <f t="shared" si="0"/>
        <v>0</v>
      </c>
      <c r="O24" s="2" t="s">
        <v>82</v>
      </c>
      <c r="P24" s="37">
        <f t="shared" si="1"/>
        <v>0</v>
      </c>
    </row>
    <row r="25" spans="1:16" x14ac:dyDescent="0.25">
      <c r="A25" s="1" t="s">
        <v>108</v>
      </c>
      <c r="B25" s="284" t="s">
        <v>109</v>
      </c>
      <c r="C25" s="284"/>
      <c r="D25" s="284"/>
      <c r="E25" s="284"/>
      <c r="F25" s="284"/>
      <c r="G25" s="284"/>
      <c r="H25" s="284"/>
      <c r="I25" s="284"/>
      <c r="J25" s="37">
        <f>'Stavební rozpočet'!H99</f>
        <v>0</v>
      </c>
      <c r="K25" s="37">
        <f>'Stavební rozpočet'!I99</f>
        <v>0</v>
      </c>
      <c r="L25" s="38">
        <f>'Stavební rozpočet'!J99</f>
        <v>0</v>
      </c>
      <c r="M25" s="36" t="s">
        <v>85</v>
      </c>
      <c r="N25" s="37">
        <f t="shared" si="0"/>
        <v>0</v>
      </c>
      <c r="O25" s="2" t="s">
        <v>82</v>
      </c>
      <c r="P25" s="37">
        <f t="shared" si="1"/>
        <v>0</v>
      </c>
    </row>
    <row r="26" spans="1:16" x14ac:dyDescent="0.25">
      <c r="A26" s="1" t="s">
        <v>110</v>
      </c>
      <c r="B26" s="284" t="s">
        <v>111</v>
      </c>
      <c r="C26" s="284"/>
      <c r="D26" s="284"/>
      <c r="E26" s="284"/>
      <c r="F26" s="284"/>
      <c r="G26" s="284"/>
      <c r="H26" s="284"/>
      <c r="I26" s="284"/>
      <c r="J26" s="37">
        <f>'Stavební rozpočet'!H103</f>
        <v>0</v>
      </c>
      <c r="K26" s="37">
        <f>'Stavební rozpočet'!I103</f>
        <v>0</v>
      </c>
      <c r="L26" s="38">
        <f>'Stavební rozpočet'!J103</f>
        <v>0</v>
      </c>
      <c r="M26" s="36" t="s">
        <v>85</v>
      </c>
      <c r="N26" s="37">
        <f t="shared" si="0"/>
        <v>0</v>
      </c>
      <c r="O26" s="2" t="s">
        <v>82</v>
      </c>
      <c r="P26" s="37">
        <f t="shared" si="1"/>
        <v>0</v>
      </c>
    </row>
    <row r="27" spans="1:16" x14ac:dyDescent="0.25">
      <c r="A27" s="1" t="s">
        <v>4</v>
      </c>
      <c r="B27" s="284" t="s">
        <v>112</v>
      </c>
      <c r="C27" s="284"/>
      <c r="D27" s="284"/>
      <c r="E27" s="284"/>
      <c r="F27" s="284"/>
      <c r="G27" s="284"/>
      <c r="H27" s="284"/>
      <c r="I27" s="284"/>
      <c r="J27" s="37">
        <f>'Stavební rozpočet'!H116</f>
        <v>0</v>
      </c>
      <c r="K27" s="37">
        <f>'Stavební rozpočet'!I116</f>
        <v>0</v>
      </c>
      <c r="L27" s="38">
        <f>'Stavební rozpočet'!J116</f>
        <v>0</v>
      </c>
      <c r="M27" s="36" t="s">
        <v>81</v>
      </c>
      <c r="N27" s="37">
        <f t="shared" si="0"/>
        <v>0</v>
      </c>
      <c r="O27" s="2" t="s">
        <v>113</v>
      </c>
      <c r="P27" s="37">
        <f t="shared" si="1"/>
        <v>0</v>
      </c>
    </row>
    <row r="28" spans="1:16" x14ac:dyDescent="0.25">
      <c r="A28" s="4" t="s">
        <v>114</v>
      </c>
      <c r="B28" s="294" t="s">
        <v>115</v>
      </c>
      <c r="C28" s="294"/>
      <c r="D28" s="294"/>
      <c r="E28" s="294"/>
      <c r="F28" s="294"/>
      <c r="G28" s="294"/>
      <c r="H28" s="294"/>
      <c r="I28" s="294"/>
      <c r="J28" s="39">
        <f>'Stavební rozpočet'!H117</f>
        <v>0</v>
      </c>
      <c r="K28" s="39">
        <f>'Stavební rozpočet'!I117</f>
        <v>0</v>
      </c>
      <c r="L28" s="40">
        <f>'Stavební rozpočet'!J117</f>
        <v>0</v>
      </c>
      <c r="M28" s="36" t="s">
        <v>85</v>
      </c>
      <c r="N28" s="37">
        <f t="shared" si="0"/>
        <v>0</v>
      </c>
      <c r="O28" s="2" t="s">
        <v>113</v>
      </c>
      <c r="P28" s="37">
        <f t="shared" si="1"/>
        <v>0</v>
      </c>
    </row>
    <row r="29" spans="1:16" x14ac:dyDescent="0.25">
      <c r="J29" s="363" t="s">
        <v>116</v>
      </c>
      <c r="K29" s="363"/>
      <c r="L29" s="41">
        <f>SUM(N12:N28)</f>
        <v>0</v>
      </c>
    </row>
    <row r="30" spans="1:16" x14ac:dyDescent="0.25">
      <c r="A30" s="42" t="s">
        <v>56</v>
      </c>
    </row>
    <row r="31" spans="1:16" ht="40.5" customHeight="1" x14ac:dyDescent="0.25">
      <c r="A31" s="287" t="s">
        <v>57</v>
      </c>
      <c r="B31" s="284"/>
      <c r="C31" s="284"/>
      <c r="D31" s="284"/>
      <c r="E31" s="284"/>
      <c r="F31" s="284"/>
      <c r="G31" s="284"/>
      <c r="H31" s="284"/>
      <c r="I31" s="284"/>
      <c r="J31" s="284"/>
      <c r="K31" s="284"/>
      <c r="L31" s="284"/>
    </row>
  </sheetData>
  <sheetProtection password="CC91" sheet="1"/>
  <mergeCells count="47">
    <mergeCell ref="A31:L31"/>
    <mergeCell ref="B25:I25"/>
    <mergeCell ref="B26:I26"/>
    <mergeCell ref="B27:I27"/>
    <mergeCell ref="B28:I28"/>
    <mergeCell ref="J29:K29"/>
    <mergeCell ref="B20:I20"/>
    <mergeCell ref="B21:I21"/>
    <mergeCell ref="B22:I22"/>
    <mergeCell ref="B23:I23"/>
    <mergeCell ref="B24:I24"/>
    <mergeCell ref="B15:I15"/>
    <mergeCell ref="B16:I16"/>
    <mergeCell ref="B17:I17"/>
    <mergeCell ref="B18:I18"/>
    <mergeCell ref="B19:I19"/>
    <mergeCell ref="B11:I11"/>
    <mergeCell ref="J10:L10"/>
    <mergeCell ref="B12:I12"/>
    <mergeCell ref="B13:I13"/>
    <mergeCell ref="B14:I14"/>
    <mergeCell ref="J2:L3"/>
    <mergeCell ref="J4:L5"/>
    <mergeCell ref="J6:L7"/>
    <mergeCell ref="J8:L9"/>
    <mergeCell ref="B10:I10"/>
    <mergeCell ref="H8:H9"/>
    <mergeCell ref="I2:I3"/>
    <mergeCell ref="I4:I5"/>
    <mergeCell ref="I6:I7"/>
    <mergeCell ref="I8:I9"/>
    <mergeCell ref="A1:L1"/>
    <mergeCell ref="A2:C3"/>
    <mergeCell ref="A4:C5"/>
    <mergeCell ref="A6:C7"/>
    <mergeCell ref="A8:C9"/>
    <mergeCell ref="D2:F3"/>
    <mergeCell ref="D4:F5"/>
    <mergeCell ref="D6:F7"/>
    <mergeCell ref="D8:F9"/>
    <mergeCell ref="G2:G3"/>
    <mergeCell ref="G4:G5"/>
    <mergeCell ref="G6:G7"/>
    <mergeCell ref="G8:G9"/>
    <mergeCell ref="H2:H3"/>
    <mergeCell ref="H4:H5"/>
    <mergeCell ref="H6:H7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Z121"/>
  <sheetViews>
    <sheetView workbookViewId="0">
      <pane ySplit="11" topLeftCell="A111" activePane="bottomLeft" state="frozen"/>
      <selection pane="bottomLeft" activeCell="G118" sqref="G118"/>
    </sheetView>
  </sheetViews>
  <sheetFormatPr defaultColWidth="12.140625" defaultRowHeight="15" customHeight="1" x14ac:dyDescent="0.25"/>
  <cols>
    <col min="1" max="1" width="4" customWidth="1"/>
    <col min="2" max="2" width="17.85546875" customWidth="1"/>
    <col min="3" max="3" width="28.5703125" customWidth="1"/>
    <col min="4" max="4" width="35.7109375" customWidth="1"/>
    <col min="5" max="5" width="6.7109375" customWidth="1"/>
    <col min="6" max="6" width="12.85546875" customWidth="1"/>
    <col min="7" max="7" width="12" customWidth="1"/>
    <col min="8" max="10" width="15.7109375" customWidth="1"/>
    <col min="11" max="11" width="13.42578125" customWidth="1"/>
    <col min="25" max="75" width="12.140625" hidden="1"/>
    <col min="76" max="76" width="64.28515625" hidden="1" customWidth="1"/>
    <col min="77" max="78" width="12.140625" hidden="1"/>
  </cols>
  <sheetData>
    <row r="1" spans="1:76" ht="54.75" customHeight="1" x14ac:dyDescent="0.25">
      <c r="A1" s="280" t="s">
        <v>117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AS1" s="43">
        <f>SUM(AJ1:AJ2)</f>
        <v>0</v>
      </c>
      <c r="AT1" s="43">
        <f>SUM(AK1:AK2)</f>
        <v>0</v>
      </c>
      <c r="AU1" s="43">
        <f>SUM(AL1:AL2)</f>
        <v>0</v>
      </c>
    </row>
    <row r="2" spans="1:76" x14ac:dyDescent="0.25">
      <c r="A2" s="281" t="s">
        <v>1</v>
      </c>
      <c r="B2" s="282"/>
      <c r="C2" s="291" t="s">
        <v>118</v>
      </c>
      <c r="D2" s="292"/>
      <c r="E2" s="282" t="s">
        <v>72</v>
      </c>
      <c r="F2" s="282"/>
      <c r="G2" s="369" t="s">
        <v>74</v>
      </c>
      <c r="H2" s="286" t="s">
        <v>2</v>
      </c>
      <c r="I2" s="286" t="s">
        <v>119</v>
      </c>
      <c r="J2" s="282"/>
      <c r="K2" s="288"/>
    </row>
    <row r="3" spans="1:76" x14ac:dyDescent="0.25">
      <c r="A3" s="283"/>
      <c r="B3" s="284"/>
      <c r="C3" s="293"/>
      <c r="D3" s="293"/>
      <c r="E3" s="284"/>
      <c r="F3" s="284"/>
      <c r="G3" s="364"/>
      <c r="H3" s="284"/>
      <c r="I3" s="284"/>
      <c r="J3" s="284"/>
      <c r="K3" s="289"/>
    </row>
    <row r="4" spans="1:76" x14ac:dyDescent="0.25">
      <c r="A4" s="285" t="s">
        <v>5</v>
      </c>
      <c r="B4" s="284"/>
      <c r="C4" s="287" t="s">
        <v>74</v>
      </c>
      <c r="D4" s="284"/>
      <c r="E4" s="284" t="s">
        <v>9</v>
      </c>
      <c r="F4" s="284"/>
      <c r="G4" s="364" t="s">
        <v>74</v>
      </c>
      <c r="H4" s="287" t="s">
        <v>6</v>
      </c>
      <c r="I4" s="287" t="s">
        <v>120</v>
      </c>
      <c r="J4" s="284"/>
      <c r="K4" s="289"/>
    </row>
    <row r="5" spans="1:76" x14ac:dyDescent="0.25">
      <c r="A5" s="283"/>
      <c r="B5" s="284"/>
      <c r="C5" s="284"/>
      <c r="D5" s="284"/>
      <c r="E5" s="284"/>
      <c r="F5" s="284"/>
      <c r="G5" s="364"/>
      <c r="H5" s="284"/>
      <c r="I5" s="284"/>
      <c r="J5" s="284"/>
      <c r="K5" s="289"/>
    </row>
    <row r="6" spans="1:76" x14ac:dyDescent="0.25">
      <c r="A6" s="285" t="s">
        <v>7</v>
      </c>
      <c r="B6" s="284"/>
      <c r="C6" s="287" t="s">
        <v>121</v>
      </c>
      <c r="D6" s="284"/>
      <c r="E6" s="284" t="s">
        <v>10</v>
      </c>
      <c r="F6" s="284"/>
      <c r="G6" s="364" t="s">
        <v>74</v>
      </c>
      <c r="H6" s="287" t="s">
        <v>8</v>
      </c>
      <c r="I6" s="364" t="s">
        <v>122</v>
      </c>
      <c r="J6" s="364"/>
      <c r="K6" s="365"/>
    </row>
    <row r="7" spans="1:76" x14ac:dyDescent="0.25">
      <c r="A7" s="283"/>
      <c r="B7" s="284"/>
      <c r="C7" s="284"/>
      <c r="D7" s="284"/>
      <c r="E7" s="284"/>
      <c r="F7" s="284"/>
      <c r="G7" s="364"/>
      <c r="H7" s="284"/>
      <c r="I7" s="364"/>
      <c r="J7" s="364"/>
      <c r="K7" s="365"/>
    </row>
    <row r="8" spans="1:76" x14ac:dyDescent="0.25">
      <c r="A8" s="285" t="s">
        <v>12</v>
      </c>
      <c r="B8" s="284"/>
      <c r="C8" s="287" t="s">
        <v>123</v>
      </c>
      <c r="D8" s="284"/>
      <c r="E8" s="284" t="s">
        <v>73</v>
      </c>
      <c r="F8" s="284"/>
      <c r="G8" s="364"/>
      <c r="H8" s="287" t="s">
        <v>13</v>
      </c>
      <c r="I8" s="366"/>
      <c r="J8" s="364"/>
      <c r="K8" s="365"/>
    </row>
    <row r="9" spans="1:76" x14ac:dyDescent="0.25">
      <c r="A9" s="350"/>
      <c r="B9" s="351"/>
      <c r="C9" s="351"/>
      <c r="D9" s="351"/>
      <c r="E9" s="351"/>
      <c r="F9" s="351"/>
      <c r="G9" s="367"/>
      <c r="H9" s="351"/>
      <c r="I9" s="367"/>
      <c r="J9" s="367"/>
      <c r="K9" s="368"/>
    </row>
    <row r="10" spans="1:76" x14ac:dyDescent="0.25">
      <c r="A10" s="44" t="s">
        <v>124</v>
      </c>
      <c r="B10" s="45" t="s">
        <v>76</v>
      </c>
      <c r="C10" s="375" t="s">
        <v>77</v>
      </c>
      <c r="D10" s="376"/>
      <c r="E10" s="45" t="s">
        <v>125</v>
      </c>
      <c r="F10" s="46" t="s">
        <v>126</v>
      </c>
      <c r="G10" s="47" t="s">
        <v>127</v>
      </c>
      <c r="H10" s="359" t="s">
        <v>75</v>
      </c>
      <c r="I10" s="360"/>
      <c r="J10" s="361"/>
      <c r="K10" s="48" t="s">
        <v>128</v>
      </c>
      <c r="BK10" s="49" t="s">
        <v>129</v>
      </c>
      <c r="BL10" s="50" t="s">
        <v>130</v>
      </c>
      <c r="BW10" s="50" t="s">
        <v>131</v>
      </c>
    </row>
    <row r="11" spans="1:76" x14ac:dyDescent="0.25">
      <c r="A11" s="51" t="s">
        <v>74</v>
      </c>
      <c r="B11" s="52" t="s">
        <v>74</v>
      </c>
      <c r="C11" s="356" t="s">
        <v>132</v>
      </c>
      <c r="D11" s="372"/>
      <c r="E11" s="52" t="s">
        <v>74</v>
      </c>
      <c r="F11" s="52" t="s">
        <v>74</v>
      </c>
      <c r="G11" s="53" t="s">
        <v>133</v>
      </c>
      <c r="H11" s="30" t="s">
        <v>78</v>
      </c>
      <c r="I11" s="31" t="s">
        <v>26</v>
      </c>
      <c r="J11" s="32" t="s">
        <v>79</v>
      </c>
      <c r="K11" s="54" t="s">
        <v>134</v>
      </c>
      <c r="Z11" s="49" t="s">
        <v>135</v>
      </c>
      <c r="AA11" s="49" t="s">
        <v>136</v>
      </c>
      <c r="AB11" s="49" t="s">
        <v>137</v>
      </c>
      <c r="AC11" s="49" t="s">
        <v>138</v>
      </c>
      <c r="AD11" s="49" t="s">
        <v>139</v>
      </c>
      <c r="AE11" s="49" t="s">
        <v>140</v>
      </c>
      <c r="AF11" s="49" t="s">
        <v>141</v>
      </c>
      <c r="AG11" s="49" t="s">
        <v>142</v>
      </c>
      <c r="AH11" s="49" t="s">
        <v>143</v>
      </c>
      <c r="BH11" s="49" t="s">
        <v>144</v>
      </c>
      <c r="BI11" s="49" t="s">
        <v>145</v>
      </c>
      <c r="BJ11" s="49" t="s">
        <v>146</v>
      </c>
    </row>
    <row r="12" spans="1:76" x14ac:dyDescent="0.25">
      <c r="A12" s="55" t="s">
        <v>4</v>
      </c>
      <c r="B12" s="56" t="s">
        <v>4</v>
      </c>
      <c r="C12" s="373" t="s">
        <v>80</v>
      </c>
      <c r="D12" s="374"/>
      <c r="E12" s="57" t="s">
        <v>74</v>
      </c>
      <c r="F12" s="57" t="s">
        <v>74</v>
      </c>
      <c r="G12" s="58" t="s">
        <v>74</v>
      </c>
      <c r="H12" s="59">
        <f>H13+H15+H19+H22+H27+H40+H55+H66+H76+H83+H90+H97+H99+H103</f>
        <v>0</v>
      </c>
      <c r="I12" s="59">
        <f>I13+I15+I19+I22+I27+I40+I55+I66+I76+I83+I90+I97+I99+I103</f>
        <v>0</v>
      </c>
      <c r="J12" s="59">
        <f>J13+J15+J19+J22+J27+J40+J55+J66+J76+J83+J90+J97+J99+J103</f>
        <v>0</v>
      </c>
      <c r="K12" s="60" t="s">
        <v>4</v>
      </c>
    </row>
    <row r="13" spans="1:76" x14ac:dyDescent="0.25">
      <c r="A13" s="61" t="s">
        <v>4</v>
      </c>
      <c r="B13" s="62" t="s">
        <v>83</v>
      </c>
      <c r="C13" s="370" t="s">
        <v>84</v>
      </c>
      <c r="D13" s="371"/>
      <c r="E13" s="63" t="s">
        <v>74</v>
      </c>
      <c r="F13" s="63" t="s">
        <v>74</v>
      </c>
      <c r="G13" s="64" t="s">
        <v>74</v>
      </c>
      <c r="H13" s="43">
        <f>SUM(H14:H14)</f>
        <v>0</v>
      </c>
      <c r="I13" s="43">
        <f>SUM(I14:I14)</f>
        <v>0</v>
      </c>
      <c r="J13" s="43">
        <f>SUM(J14:J14)</f>
        <v>0</v>
      </c>
      <c r="K13" s="65" t="s">
        <v>4</v>
      </c>
      <c r="AI13" s="49" t="s">
        <v>82</v>
      </c>
      <c r="AS13" s="43">
        <f>SUM(AJ14:AJ14)</f>
        <v>0</v>
      </c>
      <c r="AT13" s="43">
        <f>SUM(AK14:AK14)</f>
        <v>0</v>
      </c>
      <c r="AU13" s="43">
        <f>SUM(AL14:AL14)</f>
        <v>0</v>
      </c>
    </row>
    <row r="14" spans="1:76" x14ac:dyDescent="0.25">
      <c r="A14" s="1" t="s">
        <v>147</v>
      </c>
      <c r="B14" s="2" t="s">
        <v>148</v>
      </c>
      <c r="C14" s="287" t="s">
        <v>149</v>
      </c>
      <c r="D14" s="284"/>
      <c r="E14" s="2" t="s">
        <v>150</v>
      </c>
      <c r="F14" s="37">
        <v>17</v>
      </c>
      <c r="G14" s="66">
        <v>0</v>
      </c>
      <c r="H14" s="37">
        <f>F14*AO14</f>
        <v>0</v>
      </c>
      <c r="I14" s="37">
        <f>F14*AP14</f>
        <v>0</v>
      </c>
      <c r="J14" s="37">
        <f>F14*G14</f>
        <v>0</v>
      </c>
      <c r="K14" s="67" t="s">
        <v>151</v>
      </c>
      <c r="Z14" s="37">
        <f>IF(AQ14="5",BJ14,0)</f>
        <v>0</v>
      </c>
      <c r="AB14" s="37">
        <f>IF(AQ14="1",BH14,0)</f>
        <v>0</v>
      </c>
      <c r="AC14" s="37">
        <f>IF(AQ14="1",BI14,0)</f>
        <v>0</v>
      </c>
      <c r="AD14" s="37">
        <f>IF(AQ14="7",BH14,0)</f>
        <v>0</v>
      </c>
      <c r="AE14" s="37">
        <f>IF(AQ14="7",BI14,0)</f>
        <v>0</v>
      </c>
      <c r="AF14" s="37">
        <f>IF(AQ14="2",BH14,0)</f>
        <v>0</v>
      </c>
      <c r="AG14" s="37">
        <f>IF(AQ14="2",BI14,0)</f>
        <v>0</v>
      </c>
      <c r="AH14" s="37">
        <f>IF(AQ14="0",BJ14,0)</f>
        <v>0</v>
      </c>
      <c r="AI14" s="49" t="s">
        <v>82</v>
      </c>
      <c r="AJ14" s="37">
        <f>IF(AN14=0,J14,0)</f>
        <v>0</v>
      </c>
      <c r="AK14" s="37">
        <f>IF(AN14=12,J14,0)</f>
        <v>0</v>
      </c>
      <c r="AL14" s="37">
        <f>IF(AN14=21,J14,0)</f>
        <v>0</v>
      </c>
      <c r="AN14" s="37">
        <v>21</v>
      </c>
      <c r="AO14" s="37">
        <f>G14*0.589794203</f>
        <v>0</v>
      </c>
      <c r="AP14" s="37">
        <f>G14*(1-0.589794203)</f>
        <v>0</v>
      </c>
      <c r="AQ14" s="68" t="s">
        <v>147</v>
      </c>
      <c r="AV14" s="37">
        <f>AW14+AX14</f>
        <v>0</v>
      </c>
      <c r="AW14" s="37">
        <f>F14*AO14</f>
        <v>0</v>
      </c>
      <c r="AX14" s="37">
        <f>F14*AP14</f>
        <v>0</v>
      </c>
      <c r="AY14" s="68" t="s">
        <v>152</v>
      </c>
      <c r="AZ14" s="68" t="s">
        <v>153</v>
      </c>
      <c r="BA14" s="49" t="s">
        <v>154</v>
      </c>
      <c r="BC14" s="37">
        <f>AW14+AX14</f>
        <v>0</v>
      </c>
      <c r="BD14" s="37">
        <f>G14/(100-BE14)*100</f>
        <v>0</v>
      </c>
      <c r="BE14" s="37">
        <v>0</v>
      </c>
      <c r="BF14" s="37">
        <f>14</f>
        <v>14</v>
      </c>
      <c r="BH14" s="37">
        <f>F14*AO14</f>
        <v>0</v>
      </c>
      <c r="BI14" s="37">
        <f>F14*AP14</f>
        <v>0</v>
      </c>
      <c r="BJ14" s="37">
        <f>F14*G14</f>
        <v>0</v>
      </c>
      <c r="BK14" s="37"/>
      <c r="BL14" s="37">
        <v>34</v>
      </c>
      <c r="BW14" s="37">
        <v>21</v>
      </c>
      <c r="BX14" s="3" t="s">
        <v>149</v>
      </c>
    </row>
    <row r="15" spans="1:76" x14ac:dyDescent="0.25">
      <c r="A15" s="61" t="s">
        <v>4</v>
      </c>
      <c r="B15" s="62" t="s">
        <v>86</v>
      </c>
      <c r="C15" s="370" t="s">
        <v>87</v>
      </c>
      <c r="D15" s="371"/>
      <c r="E15" s="63" t="s">
        <v>74</v>
      </c>
      <c r="F15" s="63" t="s">
        <v>74</v>
      </c>
      <c r="G15" s="64" t="s">
        <v>74</v>
      </c>
      <c r="H15" s="43">
        <f>SUM(H16:H18)</f>
        <v>0</v>
      </c>
      <c r="I15" s="43">
        <f>SUM(I16:I18)</f>
        <v>0</v>
      </c>
      <c r="J15" s="43">
        <f>SUM(J16:J18)</f>
        <v>0</v>
      </c>
      <c r="K15" s="65" t="s">
        <v>4</v>
      </c>
      <c r="AI15" s="49" t="s">
        <v>82</v>
      </c>
      <c r="AS15" s="43">
        <f>SUM(AJ16:AJ18)</f>
        <v>0</v>
      </c>
      <c r="AT15" s="43">
        <f>SUM(AK16:AK18)</f>
        <v>0</v>
      </c>
      <c r="AU15" s="43">
        <f>SUM(AL16:AL18)</f>
        <v>0</v>
      </c>
    </row>
    <row r="16" spans="1:76" x14ac:dyDescent="0.25">
      <c r="A16" s="1" t="s">
        <v>155</v>
      </c>
      <c r="B16" s="2" t="s">
        <v>156</v>
      </c>
      <c r="C16" s="287" t="s">
        <v>157</v>
      </c>
      <c r="D16" s="284"/>
      <c r="E16" s="2" t="s">
        <v>150</v>
      </c>
      <c r="F16" s="37">
        <v>768.18849999999998</v>
      </c>
      <c r="G16" s="66">
        <v>0</v>
      </c>
      <c r="H16" s="37">
        <f>F16*AO16</f>
        <v>0</v>
      </c>
      <c r="I16" s="37">
        <f>F16*AP16</f>
        <v>0</v>
      </c>
      <c r="J16" s="37">
        <f>F16*G16</f>
        <v>0</v>
      </c>
      <c r="K16" s="67" t="s">
        <v>151</v>
      </c>
      <c r="Z16" s="37">
        <f>IF(AQ16="5",BJ16,0)</f>
        <v>0</v>
      </c>
      <c r="AB16" s="37">
        <f>IF(AQ16="1",BH16,0)</f>
        <v>0</v>
      </c>
      <c r="AC16" s="37">
        <f>IF(AQ16="1",BI16,0)</f>
        <v>0</v>
      </c>
      <c r="AD16" s="37">
        <f>IF(AQ16="7",BH16,0)</f>
        <v>0</v>
      </c>
      <c r="AE16" s="37">
        <f>IF(AQ16="7",BI16,0)</f>
        <v>0</v>
      </c>
      <c r="AF16" s="37">
        <f>IF(AQ16="2",BH16,0)</f>
        <v>0</v>
      </c>
      <c r="AG16" s="37">
        <f>IF(AQ16="2",BI16,0)</f>
        <v>0</v>
      </c>
      <c r="AH16" s="37">
        <f>IF(AQ16="0",BJ16,0)</f>
        <v>0</v>
      </c>
      <c r="AI16" s="49" t="s">
        <v>82</v>
      </c>
      <c r="AJ16" s="37">
        <f>IF(AN16=0,J16,0)</f>
        <v>0</v>
      </c>
      <c r="AK16" s="37">
        <f>IF(AN16=12,J16,0)</f>
        <v>0</v>
      </c>
      <c r="AL16" s="37">
        <f>IF(AN16=21,J16,0)</f>
        <v>0</v>
      </c>
      <c r="AN16" s="37">
        <v>21</v>
      </c>
      <c r="AO16" s="37">
        <f>G16*0.333568545</f>
        <v>0</v>
      </c>
      <c r="AP16" s="37">
        <f>G16*(1-0.333568545)</f>
        <v>0</v>
      </c>
      <c r="AQ16" s="68" t="s">
        <v>147</v>
      </c>
      <c r="AV16" s="37">
        <f>AW16+AX16</f>
        <v>0</v>
      </c>
      <c r="AW16" s="37">
        <f>F16*AO16</f>
        <v>0</v>
      </c>
      <c r="AX16" s="37">
        <f>F16*AP16</f>
        <v>0</v>
      </c>
      <c r="AY16" s="68" t="s">
        <v>158</v>
      </c>
      <c r="AZ16" s="68" t="s">
        <v>159</v>
      </c>
      <c r="BA16" s="49" t="s">
        <v>154</v>
      </c>
      <c r="BC16" s="37">
        <f>AW16+AX16</f>
        <v>0</v>
      </c>
      <c r="BD16" s="37">
        <f>G16/(100-BE16)*100</f>
        <v>0</v>
      </c>
      <c r="BE16" s="37">
        <v>0</v>
      </c>
      <c r="BF16" s="37">
        <f>16</f>
        <v>16</v>
      </c>
      <c r="BH16" s="37">
        <f>F16*AO16</f>
        <v>0</v>
      </c>
      <c r="BI16" s="37">
        <f>F16*AP16</f>
        <v>0</v>
      </c>
      <c r="BJ16" s="37">
        <f>F16*G16</f>
        <v>0</v>
      </c>
      <c r="BK16" s="37"/>
      <c r="BL16" s="37">
        <v>61</v>
      </c>
      <c r="BW16" s="37">
        <v>21</v>
      </c>
      <c r="BX16" s="3" t="s">
        <v>157</v>
      </c>
    </row>
    <row r="17" spans="1:76" x14ac:dyDescent="0.25">
      <c r="A17" s="1" t="s">
        <v>160</v>
      </c>
      <c r="B17" s="2" t="s">
        <v>161</v>
      </c>
      <c r="C17" s="287" t="s">
        <v>162</v>
      </c>
      <c r="D17" s="284"/>
      <c r="E17" s="2" t="s">
        <v>150</v>
      </c>
      <c r="F17" s="37">
        <v>404.7</v>
      </c>
      <c r="G17" s="66">
        <v>0</v>
      </c>
      <c r="H17" s="37">
        <f>F17*AO17</f>
        <v>0</v>
      </c>
      <c r="I17" s="37">
        <f>F17*AP17</f>
        <v>0</v>
      </c>
      <c r="J17" s="37">
        <f>F17*G17</f>
        <v>0</v>
      </c>
      <c r="K17" s="67" t="s">
        <v>151</v>
      </c>
      <c r="Z17" s="37">
        <f>IF(AQ17="5",BJ17,0)</f>
        <v>0</v>
      </c>
      <c r="AB17" s="37">
        <f>IF(AQ17="1",BH17,0)</f>
        <v>0</v>
      </c>
      <c r="AC17" s="37">
        <f>IF(AQ17="1",BI17,0)</f>
        <v>0</v>
      </c>
      <c r="AD17" s="37">
        <f>IF(AQ17="7",BH17,0)</f>
        <v>0</v>
      </c>
      <c r="AE17" s="37">
        <f>IF(AQ17="7",BI17,0)</f>
        <v>0</v>
      </c>
      <c r="AF17" s="37">
        <f>IF(AQ17="2",BH17,0)</f>
        <v>0</v>
      </c>
      <c r="AG17" s="37">
        <f>IF(AQ17="2",BI17,0)</f>
        <v>0</v>
      </c>
      <c r="AH17" s="37">
        <f>IF(AQ17="0",BJ17,0)</f>
        <v>0</v>
      </c>
      <c r="AI17" s="49" t="s">
        <v>82</v>
      </c>
      <c r="AJ17" s="37">
        <f>IF(AN17=0,J17,0)</f>
        <v>0</v>
      </c>
      <c r="AK17" s="37">
        <f>IF(AN17=12,J17,0)</f>
        <v>0</v>
      </c>
      <c r="AL17" s="37">
        <f>IF(AN17=21,J17,0)</f>
        <v>0</v>
      </c>
      <c r="AN17" s="37">
        <v>21</v>
      </c>
      <c r="AO17" s="37">
        <f>G17*0.352988722</f>
        <v>0</v>
      </c>
      <c r="AP17" s="37">
        <f>G17*(1-0.352988722)</f>
        <v>0</v>
      </c>
      <c r="AQ17" s="68" t="s">
        <v>147</v>
      </c>
      <c r="AV17" s="37">
        <f>AW17+AX17</f>
        <v>0</v>
      </c>
      <c r="AW17" s="37">
        <f>F17*AO17</f>
        <v>0</v>
      </c>
      <c r="AX17" s="37">
        <f>F17*AP17</f>
        <v>0</v>
      </c>
      <c r="AY17" s="68" t="s">
        <v>158</v>
      </c>
      <c r="AZ17" s="68" t="s">
        <v>159</v>
      </c>
      <c r="BA17" s="49" t="s">
        <v>154</v>
      </c>
      <c r="BC17" s="37">
        <f>AW17+AX17</f>
        <v>0</v>
      </c>
      <c r="BD17" s="37">
        <f>G17/(100-BE17)*100</f>
        <v>0</v>
      </c>
      <c r="BE17" s="37">
        <v>0</v>
      </c>
      <c r="BF17" s="37">
        <f>17</f>
        <v>17</v>
      </c>
      <c r="BH17" s="37">
        <f>F17*AO17</f>
        <v>0</v>
      </c>
      <c r="BI17" s="37">
        <f>F17*AP17</f>
        <v>0</v>
      </c>
      <c r="BJ17" s="37">
        <f>F17*G17</f>
        <v>0</v>
      </c>
      <c r="BK17" s="37"/>
      <c r="BL17" s="37">
        <v>61</v>
      </c>
      <c r="BW17" s="37">
        <v>21</v>
      </c>
      <c r="BX17" s="3" t="s">
        <v>162</v>
      </c>
    </row>
    <row r="18" spans="1:76" x14ac:dyDescent="0.25">
      <c r="A18" s="1" t="s">
        <v>163</v>
      </c>
      <c r="B18" s="2" t="s">
        <v>164</v>
      </c>
      <c r="C18" s="287" t="s">
        <v>165</v>
      </c>
      <c r="D18" s="284"/>
      <c r="E18" s="2" t="s">
        <v>150</v>
      </c>
      <c r="F18" s="37">
        <v>126.2351</v>
      </c>
      <c r="G18" s="66">
        <v>0</v>
      </c>
      <c r="H18" s="37">
        <f>F18*AO18</f>
        <v>0</v>
      </c>
      <c r="I18" s="37">
        <f>F18*AP18</f>
        <v>0</v>
      </c>
      <c r="J18" s="37">
        <f>F18*G18</f>
        <v>0</v>
      </c>
      <c r="K18" s="67" t="s">
        <v>151</v>
      </c>
      <c r="Z18" s="37">
        <f>IF(AQ18="5",BJ18,0)</f>
        <v>0</v>
      </c>
      <c r="AB18" s="37">
        <f>IF(AQ18="1",BH18,0)</f>
        <v>0</v>
      </c>
      <c r="AC18" s="37">
        <f>IF(AQ18="1",BI18,0)</f>
        <v>0</v>
      </c>
      <c r="AD18" s="37">
        <f>IF(AQ18="7",BH18,0)</f>
        <v>0</v>
      </c>
      <c r="AE18" s="37">
        <f>IF(AQ18="7",BI18,0)</f>
        <v>0</v>
      </c>
      <c r="AF18" s="37">
        <f>IF(AQ18="2",BH18,0)</f>
        <v>0</v>
      </c>
      <c r="AG18" s="37">
        <f>IF(AQ18="2",BI18,0)</f>
        <v>0</v>
      </c>
      <c r="AH18" s="37">
        <f>IF(AQ18="0",BJ18,0)</f>
        <v>0</v>
      </c>
      <c r="AI18" s="49" t="s">
        <v>82</v>
      </c>
      <c r="AJ18" s="37">
        <f>IF(AN18=0,J18,0)</f>
        <v>0</v>
      </c>
      <c r="AK18" s="37">
        <f>IF(AN18=12,J18,0)</f>
        <v>0</v>
      </c>
      <c r="AL18" s="37">
        <f>IF(AN18=21,J18,0)</f>
        <v>0</v>
      </c>
      <c r="AN18" s="37">
        <v>21</v>
      </c>
      <c r="AO18" s="37">
        <f>G18*0.334082989</f>
        <v>0</v>
      </c>
      <c r="AP18" s="37">
        <f>G18*(1-0.334082989)</f>
        <v>0</v>
      </c>
      <c r="AQ18" s="68" t="s">
        <v>147</v>
      </c>
      <c r="AV18" s="37">
        <f>AW18+AX18</f>
        <v>0</v>
      </c>
      <c r="AW18" s="37">
        <f>F18*AO18</f>
        <v>0</v>
      </c>
      <c r="AX18" s="37">
        <f>F18*AP18</f>
        <v>0</v>
      </c>
      <c r="AY18" s="68" t="s">
        <v>158</v>
      </c>
      <c r="AZ18" s="68" t="s">
        <v>159</v>
      </c>
      <c r="BA18" s="49" t="s">
        <v>154</v>
      </c>
      <c r="BC18" s="37">
        <f>AW18+AX18</f>
        <v>0</v>
      </c>
      <c r="BD18" s="37">
        <f>G18/(100-BE18)*100</f>
        <v>0</v>
      </c>
      <c r="BE18" s="37">
        <v>0</v>
      </c>
      <c r="BF18" s="37">
        <f>18</f>
        <v>18</v>
      </c>
      <c r="BH18" s="37">
        <f>F18*AO18</f>
        <v>0</v>
      </c>
      <c r="BI18" s="37">
        <f>F18*AP18</f>
        <v>0</v>
      </c>
      <c r="BJ18" s="37">
        <f>F18*G18</f>
        <v>0</v>
      </c>
      <c r="BK18" s="37"/>
      <c r="BL18" s="37">
        <v>61</v>
      </c>
      <c r="BW18" s="37">
        <v>21</v>
      </c>
      <c r="BX18" s="3" t="s">
        <v>165</v>
      </c>
    </row>
    <row r="19" spans="1:76" x14ac:dyDescent="0.25">
      <c r="A19" s="61" t="s">
        <v>4</v>
      </c>
      <c r="B19" s="62" t="s">
        <v>88</v>
      </c>
      <c r="C19" s="370" t="s">
        <v>89</v>
      </c>
      <c r="D19" s="371"/>
      <c r="E19" s="63" t="s">
        <v>74</v>
      </c>
      <c r="F19" s="63" t="s">
        <v>74</v>
      </c>
      <c r="G19" s="64" t="s">
        <v>74</v>
      </c>
      <c r="H19" s="43">
        <f>SUM(H20:H21)</f>
        <v>0</v>
      </c>
      <c r="I19" s="43">
        <f>SUM(I20:I21)</f>
        <v>0</v>
      </c>
      <c r="J19" s="43">
        <f>SUM(J20:J21)</f>
        <v>0</v>
      </c>
      <c r="K19" s="65" t="s">
        <v>4</v>
      </c>
      <c r="AI19" s="49" t="s">
        <v>82</v>
      </c>
      <c r="AS19" s="43">
        <f>SUM(AJ20:AJ21)</f>
        <v>0</v>
      </c>
      <c r="AT19" s="43">
        <f>SUM(AK20:AK21)</f>
        <v>0</v>
      </c>
      <c r="AU19" s="43">
        <f>SUM(AL20:AL21)</f>
        <v>0</v>
      </c>
    </row>
    <row r="20" spans="1:76" x14ac:dyDescent="0.25">
      <c r="A20" s="1" t="s">
        <v>166</v>
      </c>
      <c r="B20" s="2" t="s">
        <v>167</v>
      </c>
      <c r="C20" s="287" t="s">
        <v>168</v>
      </c>
      <c r="D20" s="284"/>
      <c r="E20" s="2" t="s">
        <v>150</v>
      </c>
      <c r="F20" s="37">
        <v>404.7</v>
      </c>
      <c r="G20" s="66">
        <v>0</v>
      </c>
      <c r="H20" s="37">
        <f>F20*AO20</f>
        <v>0</v>
      </c>
      <c r="I20" s="37">
        <f>F20*AP20</f>
        <v>0</v>
      </c>
      <c r="J20" s="37">
        <f>F20*G20</f>
        <v>0</v>
      </c>
      <c r="K20" s="67" t="s">
        <v>151</v>
      </c>
      <c r="Z20" s="37">
        <f>IF(AQ20="5",BJ20,0)</f>
        <v>0</v>
      </c>
      <c r="AB20" s="37">
        <f>IF(AQ20="1",BH20,0)</f>
        <v>0</v>
      </c>
      <c r="AC20" s="37">
        <f>IF(AQ20="1",BI20,0)</f>
        <v>0</v>
      </c>
      <c r="AD20" s="37">
        <f>IF(AQ20="7",BH20,0)</f>
        <v>0</v>
      </c>
      <c r="AE20" s="37">
        <f>IF(AQ20="7",BI20,0)</f>
        <v>0</v>
      </c>
      <c r="AF20" s="37">
        <f>IF(AQ20="2",BH20,0)</f>
        <v>0</v>
      </c>
      <c r="AG20" s="37">
        <f>IF(AQ20="2",BI20,0)</f>
        <v>0</v>
      </c>
      <c r="AH20" s="37">
        <f>IF(AQ20="0",BJ20,0)</f>
        <v>0</v>
      </c>
      <c r="AI20" s="49" t="s">
        <v>82</v>
      </c>
      <c r="AJ20" s="37">
        <f>IF(AN20=0,J20,0)</f>
        <v>0</v>
      </c>
      <c r="AK20" s="37">
        <f>IF(AN20=12,J20,0)</f>
        <v>0</v>
      </c>
      <c r="AL20" s="37">
        <f>IF(AN20=21,J20,0)</f>
        <v>0</v>
      </c>
      <c r="AN20" s="37">
        <v>21</v>
      </c>
      <c r="AO20" s="37">
        <f>G20*0.847180529</f>
        <v>0</v>
      </c>
      <c r="AP20" s="37">
        <f>G20*(1-0.847180529)</f>
        <v>0</v>
      </c>
      <c r="AQ20" s="68" t="s">
        <v>147</v>
      </c>
      <c r="AV20" s="37">
        <f>AW20+AX20</f>
        <v>0</v>
      </c>
      <c r="AW20" s="37">
        <f>F20*AO20</f>
        <v>0</v>
      </c>
      <c r="AX20" s="37">
        <f>F20*AP20</f>
        <v>0</v>
      </c>
      <c r="AY20" s="68" t="s">
        <v>169</v>
      </c>
      <c r="AZ20" s="68" t="s">
        <v>159</v>
      </c>
      <c r="BA20" s="49" t="s">
        <v>154</v>
      </c>
      <c r="BC20" s="37">
        <f>AW20+AX20</f>
        <v>0</v>
      </c>
      <c r="BD20" s="37">
        <f>G20/(100-BE20)*100</f>
        <v>0</v>
      </c>
      <c r="BE20" s="37">
        <v>0</v>
      </c>
      <c r="BF20" s="37">
        <f>20</f>
        <v>20</v>
      </c>
      <c r="BH20" s="37">
        <f>F20*AO20</f>
        <v>0</v>
      </c>
      <c r="BI20" s="37">
        <f>F20*AP20</f>
        <v>0</v>
      </c>
      <c r="BJ20" s="37">
        <f>F20*G20</f>
        <v>0</v>
      </c>
      <c r="BK20" s="37"/>
      <c r="BL20" s="37">
        <v>63</v>
      </c>
      <c r="BW20" s="37">
        <v>21</v>
      </c>
      <c r="BX20" s="3" t="s">
        <v>168</v>
      </c>
    </row>
    <row r="21" spans="1:76" x14ac:dyDescent="0.25">
      <c r="A21" s="1" t="s">
        <v>170</v>
      </c>
      <c r="B21" s="2" t="s">
        <v>171</v>
      </c>
      <c r="C21" s="287" t="s">
        <v>172</v>
      </c>
      <c r="D21" s="284"/>
      <c r="E21" s="2" t="s">
        <v>173</v>
      </c>
      <c r="F21" s="37">
        <v>65.968369999999993</v>
      </c>
      <c r="G21" s="66">
        <v>0</v>
      </c>
      <c r="H21" s="37">
        <f>F21*AO21</f>
        <v>0</v>
      </c>
      <c r="I21" s="37">
        <f>F21*AP21</f>
        <v>0</v>
      </c>
      <c r="J21" s="37">
        <f>F21*G21</f>
        <v>0</v>
      </c>
      <c r="K21" s="67" t="s">
        <v>151</v>
      </c>
      <c r="Z21" s="37">
        <f>IF(AQ21="5",BJ21,0)</f>
        <v>0</v>
      </c>
      <c r="AB21" s="37">
        <f>IF(AQ21="1",BH21,0)</f>
        <v>0</v>
      </c>
      <c r="AC21" s="37">
        <f>IF(AQ21="1",BI21,0)</f>
        <v>0</v>
      </c>
      <c r="AD21" s="37">
        <f>IF(AQ21="7",BH21,0)</f>
        <v>0</v>
      </c>
      <c r="AE21" s="37">
        <f>IF(AQ21="7",BI21,0)</f>
        <v>0</v>
      </c>
      <c r="AF21" s="37">
        <f>IF(AQ21="2",BH21,0)</f>
        <v>0</v>
      </c>
      <c r="AG21" s="37">
        <f>IF(AQ21="2",BI21,0)</f>
        <v>0</v>
      </c>
      <c r="AH21" s="37">
        <f>IF(AQ21="0",BJ21,0)</f>
        <v>0</v>
      </c>
      <c r="AI21" s="49" t="s">
        <v>82</v>
      </c>
      <c r="AJ21" s="37">
        <f>IF(AN21=0,J21,0)</f>
        <v>0</v>
      </c>
      <c r="AK21" s="37">
        <f>IF(AN21=12,J21,0)</f>
        <v>0</v>
      </c>
      <c r="AL21" s="37">
        <f>IF(AN21=21,J21,0)</f>
        <v>0</v>
      </c>
      <c r="AN21" s="37">
        <v>21</v>
      </c>
      <c r="AO21" s="37">
        <f>G21*0</f>
        <v>0</v>
      </c>
      <c r="AP21" s="37">
        <f>G21*(1-0)</f>
        <v>0</v>
      </c>
      <c r="AQ21" s="68" t="s">
        <v>166</v>
      </c>
      <c r="AV21" s="37">
        <f>AW21+AX21</f>
        <v>0</v>
      </c>
      <c r="AW21" s="37">
        <f>F21*AO21</f>
        <v>0</v>
      </c>
      <c r="AX21" s="37">
        <f>F21*AP21</f>
        <v>0</v>
      </c>
      <c r="AY21" s="68" t="s">
        <v>169</v>
      </c>
      <c r="AZ21" s="68" t="s">
        <v>159</v>
      </c>
      <c r="BA21" s="49" t="s">
        <v>154</v>
      </c>
      <c r="BC21" s="37">
        <f>AW21+AX21</f>
        <v>0</v>
      </c>
      <c r="BD21" s="37">
        <f>G21/(100-BE21)*100</f>
        <v>0</v>
      </c>
      <c r="BE21" s="37">
        <v>0</v>
      </c>
      <c r="BF21" s="37">
        <f>21</f>
        <v>21</v>
      </c>
      <c r="BH21" s="37">
        <f>F21*AO21</f>
        <v>0</v>
      </c>
      <c r="BI21" s="37">
        <f>F21*AP21</f>
        <v>0</v>
      </c>
      <c r="BJ21" s="37">
        <f>F21*G21</f>
        <v>0</v>
      </c>
      <c r="BK21" s="37"/>
      <c r="BL21" s="37">
        <v>63</v>
      </c>
      <c r="BW21" s="37">
        <v>21</v>
      </c>
      <c r="BX21" s="3" t="s">
        <v>172</v>
      </c>
    </row>
    <row r="22" spans="1:76" x14ac:dyDescent="0.25">
      <c r="A22" s="61" t="s">
        <v>4</v>
      </c>
      <c r="B22" s="62" t="s">
        <v>90</v>
      </c>
      <c r="C22" s="370" t="s">
        <v>91</v>
      </c>
      <c r="D22" s="371"/>
      <c r="E22" s="63" t="s">
        <v>74</v>
      </c>
      <c r="F22" s="63" t="s">
        <v>74</v>
      </c>
      <c r="G22" s="64" t="s">
        <v>74</v>
      </c>
      <c r="H22" s="43">
        <f>SUM(H23:H26)</f>
        <v>0</v>
      </c>
      <c r="I22" s="43">
        <f>SUM(I23:I26)</f>
        <v>0</v>
      </c>
      <c r="J22" s="43">
        <f>SUM(J23:J26)</f>
        <v>0</v>
      </c>
      <c r="K22" s="65" t="s">
        <v>4</v>
      </c>
      <c r="AI22" s="49" t="s">
        <v>82</v>
      </c>
      <c r="AS22" s="43">
        <f>SUM(AJ23:AJ26)</f>
        <v>0</v>
      </c>
      <c r="AT22" s="43">
        <f>SUM(AK23:AK26)</f>
        <v>0</v>
      </c>
      <c r="AU22" s="43">
        <f>SUM(AL23:AL26)</f>
        <v>0</v>
      </c>
    </row>
    <row r="23" spans="1:76" x14ac:dyDescent="0.25">
      <c r="A23" s="1" t="s">
        <v>174</v>
      </c>
      <c r="B23" s="2" t="s">
        <v>175</v>
      </c>
      <c r="C23" s="287" t="s">
        <v>176</v>
      </c>
      <c r="D23" s="284"/>
      <c r="E23" s="2" t="s">
        <v>150</v>
      </c>
      <c r="F23" s="37">
        <v>404.7</v>
      </c>
      <c r="G23" s="66">
        <v>0</v>
      </c>
      <c r="H23" s="37">
        <f>F23*AO23</f>
        <v>0</v>
      </c>
      <c r="I23" s="37">
        <f>F23*AP23</f>
        <v>0</v>
      </c>
      <c r="J23" s="37">
        <f>F23*G23</f>
        <v>0</v>
      </c>
      <c r="K23" s="67" t="s">
        <v>151</v>
      </c>
      <c r="Z23" s="37">
        <f>IF(AQ23="5",BJ23,0)</f>
        <v>0</v>
      </c>
      <c r="AB23" s="37">
        <f>IF(AQ23="1",BH23,0)</f>
        <v>0</v>
      </c>
      <c r="AC23" s="37">
        <f>IF(AQ23="1",BI23,0)</f>
        <v>0</v>
      </c>
      <c r="AD23" s="37">
        <f>IF(AQ23="7",BH23,0)</f>
        <v>0</v>
      </c>
      <c r="AE23" s="37">
        <f>IF(AQ23="7",BI23,0)</f>
        <v>0</v>
      </c>
      <c r="AF23" s="37">
        <f>IF(AQ23="2",BH23,0)</f>
        <v>0</v>
      </c>
      <c r="AG23" s="37">
        <f>IF(AQ23="2",BI23,0)</f>
        <v>0</v>
      </c>
      <c r="AH23" s="37">
        <f>IF(AQ23="0",BJ23,0)</f>
        <v>0</v>
      </c>
      <c r="AI23" s="49" t="s">
        <v>82</v>
      </c>
      <c r="AJ23" s="37">
        <f>IF(AN23=0,J23,0)</f>
        <v>0</v>
      </c>
      <c r="AK23" s="37">
        <f>IF(AN23=12,J23,0)</f>
        <v>0</v>
      </c>
      <c r="AL23" s="37">
        <f>IF(AN23=21,J23,0)</f>
        <v>0</v>
      </c>
      <c r="AN23" s="37">
        <v>21</v>
      </c>
      <c r="AO23" s="37">
        <f>G23*0</f>
        <v>0</v>
      </c>
      <c r="AP23" s="37">
        <f>G23*(1-0)</f>
        <v>0</v>
      </c>
      <c r="AQ23" s="68" t="s">
        <v>174</v>
      </c>
      <c r="AV23" s="37">
        <f>AW23+AX23</f>
        <v>0</v>
      </c>
      <c r="AW23" s="37">
        <f>F23*AO23</f>
        <v>0</v>
      </c>
      <c r="AX23" s="37">
        <f>F23*AP23</f>
        <v>0</v>
      </c>
      <c r="AY23" s="68" t="s">
        <v>177</v>
      </c>
      <c r="AZ23" s="68" t="s">
        <v>178</v>
      </c>
      <c r="BA23" s="49" t="s">
        <v>154</v>
      </c>
      <c r="BC23" s="37">
        <f>AW23+AX23</f>
        <v>0</v>
      </c>
      <c r="BD23" s="37">
        <f>G23/(100-BE23)*100</f>
        <v>0</v>
      </c>
      <c r="BE23" s="37">
        <v>0</v>
      </c>
      <c r="BF23" s="37">
        <f>23</f>
        <v>23</v>
      </c>
      <c r="BH23" s="37">
        <f>F23*AO23</f>
        <v>0</v>
      </c>
      <c r="BI23" s="37">
        <f>F23*AP23</f>
        <v>0</v>
      </c>
      <c r="BJ23" s="37">
        <f>F23*G23</f>
        <v>0</v>
      </c>
      <c r="BK23" s="37"/>
      <c r="BL23" s="37">
        <v>713</v>
      </c>
      <c r="BW23" s="37">
        <v>21</v>
      </c>
      <c r="BX23" s="3" t="s">
        <v>176</v>
      </c>
    </row>
    <row r="24" spans="1:76" x14ac:dyDescent="0.25">
      <c r="A24" s="1" t="s">
        <v>179</v>
      </c>
      <c r="B24" s="2" t="s">
        <v>180</v>
      </c>
      <c r="C24" s="287" t="s">
        <v>181</v>
      </c>
      <c r="D24" s="284"/>
      <c r="E24" s="2" t="s">
        <v>150</v>
      </c>
      <c r="F24" s="37">
        <v>409.35404999999997</v>
      </c>
      <c r="G24" s="66">
        <v>0</v>
      </c>
      <c r="H24" s="37">
        <f>F24*AO24</f>
        <v>0</v>
      </c>
      <c r="I24" s="37">
        <f>F24*AP24</f>
        <v>0</v>
      </c>
      <c r="J24" s="37">
        <f>F24*G24</f>
        <v>0</v>
      </c>
      <c r="K24" s="67" t="s">
        <v>151</v>
      </c>
      <c r="Z24" s="37">
        <f>IF(AQ24="5",BJ24,0)</f>
        <v>0</v>
      </c>
      <c r="AB24" s="37">
        <f>IF(AQ24="1",BH24,0)</f>
        <v>0</v>
      </c>
      <c r="AC24" s="37">
        <f>IF(AQ24="1",BI24,0)</f>
        <v>0</v>
      </c>
      <c r="AD24" s="37">
        <f>IF(AQ24="7",BH24,0)</f>
        <v>0</v>
      </c>
      <c r="AE24" s="37">
        <f>IF(AQ24="7",BI24,0)</f>
        <v>0</v>
      </c>
      <c r="AF24" s="37">
        <f>IF(AQ24="2",BH24,0)</f>
        <v>0</v>
      </c>
      <c r="AG24" s="37">
        <f>IF(AQ24="2",BI24,0)</f>
        <v>0</v>
      </c>
      <c r="AH24" s="37">
        <f>IF(AQ24="0",BJ24,0)</f>
        <v>0</v>
      </c>
      <c r="AI24" s="49" t="s">
        <v>82</v>
      </c>
      <c r="AJ24" s="37">
        <f>IF(AN24=0,J24,0)</f>
        <v>0</v>
      </c>
      <c r="AK24" s="37">
        <f>IF(AN24=12,J24,0)</f>
        <v>0</v>
      </c>
      <c r="AL24" s="37">
        <f>IF(AN24=21,J24,0)</f>
        <v>0</v>
      </c>
      <c r="AN24" s="37">
        <v>21</v>
      </c>
      <c r="AO24" s="37">
        <f>G24*1</f>
        <v>0</v>
      </c>
      <c r="AP24" s="37">
        <f>G24*(1-1)</f>
        <v>0</v>
      </c>
      <c r="AQ24" s="68" t="s">
        <v>174</v>
      </c>
      <c r="AV24" s="37">
        <f>AW24+AX24</f>
        <v>0</v>
      </c>
      <c r="AW24" s="37">
        <f>F24*AO24</f>
        <v>0</v>
      </c>
      <c r="AX24" s="37">
        <f>F24*AP24</f>
        <v>0</v>
      </c>
      <c r="AY24" s="68" t="s">
        <v>177</v>
      </c>
      <c r="AZ24" s="68" t="s">
        <v>178</v>
      </c>
      <c r="BA24" s="49" t="s">
        <v>154</v>
      </c>
      <c r="BC24" s="37">
        <f>AW24+AX24</f>
        <v>0</v>
      </c>
      <c r="BD24" s="37">
        <f>G24/(100-BE24)*100</f>
        <v>0</v>
      </c>
      <c r="BE24" s="37">
        <v>0</v>
      </c>
      <c r="BF24" s="37">
        <f>24</f>
        <v>24</v>
      </c>
      <c r="BH24" s="37">
        <f>F24*AO24</f>
        <v>0</v>
      </c>
      <c r="BI24" s="37">
        <f>F24*AP24</f>
        <v>0</v>
      </c>
      <c r="BJ24" s="37">
        <f>F24*G24</f>
        <v>0</v>
      </c>
      <c r="BK24" s="37"/>
      <c r="BL24" s="37">
        <v>713</v>
      </c>
      <c r="BW24" s="37">
        <v>21</v>
      </c>
      <c r="BX24" s="3" t="s">
        <v>181</v>
      </c>
    </row>
    <row r="25" spans="1:76" x14ac:dyDescent="0.25">
      <c r="A25" s="1" t="s">
        <v>182</v>
      </c>
      <c r="B25" s="2" t="s">
        <v>183</v>
      </c>
      <c r="C25" s="287" t="s">
        <v>184</v>
      </c>
      <c r="D25" s="284"/>
      <c r="E25" s="2" t="s">
        <v>150</v>
      </c>
      <c r="F25" s="37">
        <v>465.26</v>
      </c>
      <c r="G25" s="66">
        <v>0</v>
      </c>
      <c r="H25" s="37">
        <f>F25*AO25</f>
        <v>0</v>
      </c>
      <c r="I25" s="37">
        <f>F25*AP25</f>
        <v>0</v>
      </c>
      <c r="J25" s="37">
        <f>F25*G25</f>
        <v>0</v>
      </c>
      <c r="K25" s="67" t="s">
        <v>151</v>
      </c>
      <c r="Z25" s="37">
        <f>IF(AQ25="5",BJ25,0)</f>
        <v>0</v>
      </c>
      <c r="AB25" s="37">
        <f>IF(AQ25="1",BH25,0)</f>
        <v>0</v>
      </c>
      <c r="AC25" s="37">
        <f>IF(AQ25="1",BI25,0)</f>
        <v>0</v>
      </c>
      <c r="AD25" s="37">
        <f>IF(AQ25="7",BH25,0)</f>
        <v>0</v>
      </c>
      <c r="AE25" s="37">
        <f>IF(AQ25="7",BI25,0)</f>
        <v>0</v>
      </c>
      <c r="AF25" s="37">
        <f>IF(AQ25="2",BH25,0)</f>
        <v>0</v>
      </c>
      <c r="AG25" s="37">
        <f>IF(AQ25="2",BI25,0)</f>
        <v>0</v>
      </c>
      <c r="AH25" s="37">
        <f>IF(AQ25="0",BJ25,0)</f>
        <v>0</v>
      </c>
      <c r="AI25" s="49" t="s">
        <v>82</v>
      </c>
      <c r="AJ25" s="37">
        <f>IF(AN25=0,J25,0)</f>
        <v>0</v>
      </c>
      <c r="AK25" s="37">
        <f>IF(AN25=12,J25,0)</f>
        <v>0</v>
      </c>
      <c r="AL25" s="37">
        <f>IF(AN25=21,J25,0)</f>
        <v>0</v>
      </c>
      <c r="AN25" s="37">
        <v>21</v>
      </c>
      <c r="AO25" s="37">
        <f>G25*0.21157681</f>
        <v>0</v>
      </c>
      <c r="AP25" s="37">
        <f>G25*(1-0.21157681)</f>
        <v>0</v>
      </c>
      <c r="AQ25" s="68" t="s">
        <v>174</v>
      </c>
      <c r="AV25" s="37">
        <f>AW25+AX25</f>
        <v>0</v>
      </c>
      <c r="AW25" s="37">
        <f>F25*AO25</f>
        <v>0</v>
      </c>
      <c r="AX25" s="37">
        <f>F25*AP25</f>
        <v>0</v>
      </c>
      <c r="AY25" s="68" t="s">
        <v>177</v>
      </c>
      <c r="AZ25" s="68" t="s">
        <v>178</v>
      </c>
      <c r="BA25" s="49" t="s">
        <v>154</v>
      </c>
      <c r="BC25" s="37">
        <f>AW25+AX25</f>
        <v>0</v>
      </c>
      <c r="BD25" s="37">
        <f>G25/(100-BE25)*100</f>
        <v>0</v>
      </c>
      <c r="BE25" s="37">
        <v>0</v>
      </c>
      <c r="BF25" s="37">
        <f>25</f>
        <v>25</v>
      </c>
      <c r="BH25" s="37">
        <f>F25*AO25</f>
        <v>0</v>
      </c>
      <c r="BI25" s="37">
        <f>F25*AP25</f>
        <v>0</v>
      </c>
      <c r="BJ25" s="37">
        <f>F25*G25</f>
        <v>0</v>
      </c>
      <c r="BK25" s="37"/>
      <c r="BL25" s="37">
        <v>713</v>
      </c>
      <c r="BW25" s="37">
        <v>21</v>
      </c>
      <c r="BX25" s="3" t="s">
        <v>184</v>
      </c>
    </row>
    <row r="26" spans="1:76" x14ac:dyDescent="0.25">
      <c r="A26" s="1" t="s">
        <v>185</v>
      </c>
      <c r="B26" s="2" t="s">
        <v>186</v>
      </c>
      <c r="C26" s="287" t="s">
        <v>187</v>
      </c>
      <c r="D26" s="284"/>
      <c r="E26" s="2" t="s">
        <v>62</v>
      </c>
      <c r="F26" s="37">
        <v>880.23180000000002</v>
      </c>
      <c r="G26" s="66">
        <v>0</v>
      </c>
      <c r="H26" s="37">
        <f>F26*AO26</f>
        <v>0</v>
      </c>
      <c r="I26" s="37">
        <f>F26*AP26</f>
        <v>0</v>
      </c>
      <c r="J26" s="37">
        <f>F26*G26</f>
        <v>0</v>
      </c>
      <c r="K26" s="67" t="s">
        <v>151</v>
      </c>
      <c r="Z26" s="37">
        <f>IF(AQ26="5",BJ26,0)</f>
        <v>0</v>
      </c>
      <c r="AB26" s="37">
        <f>IF(AQ26="1",BH26,0)</f>
        <v>0</v>
      </c>
      <c r="AC26" s="37">
        <f>IF(AQ26="1",BI26,0)</f>
        <v>0</v>
      </c>
      <c r="AD26" s="37">
        <f>IF(AQ26="7",BH26,0)</f>
        <v>0</v>
      </c>
      <c r="AE26" s="37">
        <f>IF(AQ26="7",BI26,0)</f>
        <v>0</v>
      </c>
      <c r="AF26" s="37">
        <f>IF(AQ26="2",BH26,0)</f>
        <v>0</v>
      </c>
      <c r="AG26" s="37">
        <f>IF(AQ26="2",BI26,0)</f>
        <v>0</v>
      </c>
      <c r="AH26" s="37">
        <f>IF(AQ26="0",BJ26,0)</f>
        <v>0</v>
      </c>
      <c r="AI26" s="49" t="s">
        <v>82</v>
      </c>
      <c r="AJ26" s="37">
        <f>IF(AN26=0,J26,0)</f>
        <v>0</v>
      </c>
      <c r="AK26" s="37">
        <f>IF(AN26=12,J26,0)</f>
        <v>0</v>
      </c>
      <c r="AL26" s="37">
        <f>IF(AN26=21,J26,0)</f>
        <v>0</v>
      </c>
      <c r="AN26" s="37">
        <v>21</v>
      </c>
      <c r="AO26" s="37">
        <f>G26*0</f>
        <v>0</v>
      </c>
      <c r="AP26" s="37">
        <f>G26*(1-0)</f>
        <v>0</v>
      </c>
      <c r="AQ26" s="68" t="s">
        <v>166</v>
      </c>
      <c r="AV26" s="37">
        <f>AW26+AX26</f>
        <v>0</v>
      </c>
      <c r="AW26" s="37">
        <f>F26*AO26</f>
        <v>0</v>
      </c>
      <c r="AX26" s="37">
        <f>F26*AP26</f>
        <v>0</v>
      </c>
      <c r="AY26" s="68" t="s">
        <v>177</v>
      </c>
      <c r="AZ26" s="68" t="s">
        <v>178</v>
      </c>
      <c r="BA26" s="49" t="s">
        <v>154</v>
      </c>
      <c r="BC26" s="37">
        <f>AW26+AX26</f>
        <v>0</v>
      </c>
      <c r="BD26" s="37">
        <f>G26/(100-BE26)*100</f>
        <v>0</v>
      </c>
      <c r="BE26" s="37">
        <v>0</v>
      </c>
      <c r="BF26" s="37">
        <f>26</f>
        <v>26</v>
      </c>
      <c r="BH26" s="37">
        <f>F26*AO26</f>
        <v>0</v>
      </c>
      <c r="BI26" s="37">
        <f>F26*AP26</f>
        <v>0</v>
      </c>
      <c r="BJ26" s="37">
        <f>F26*G26</f>
        <v>0</v>
      </c>
      <c r="BK26" s="37"/>
      <c r="BL26" s="37">
        <v>713</v>
      </c>
      <c r="BW26" s="37">
        <v>21</v>
      </c>
      <c r="BX26" s="3" t="s">
        <v>187</v>
      </c>
    </row>
    <row r="27" spans="1:76" x14ac:dyDescent="0.25">
      <c r="A27" s="61" t="s">
        <v>4</v>
      </c>
      <c r="B27" s="62" t="s">
        <v>92</v>
      </c>
      <c r="C27" s="370" t="s">
        <v>93</v>
      </c>
      <c r="D27" s="371"/>
      <c r="E27" s="63" t="s">
        <v>74</v>
      </c>
      <c r="F27" s="63" t="s">
        <v>74</v>
      </c>
      <c r="G27" s="64" t="s">
        <v>74</v>
      </c>
      <c r="H27" s="43">
        <f>SUM(H28:H39)</f>
        <v>0</v>
      </c>
      <c r="I27" s="43">
        <f>SUM(I28:I39)</f>
        <v>0</v>
      </c>
      <c r="J27" s="43">
        <f>SUM(J28:J39)</f>
        <v>0</v>
      </c>
      <c r="K27" s="65" t="s">
        <v>4</v>
      </c>
      <c r="AI27" s="49" t="s">
        <v>82</v>
      </c>
      <c r="AS27" s="43">
        <f>SUM(AJ28:AJ39)</f>
        <v>0</v>
      </c>
      <c r="AT27" s="43">
        <f>SUM(AK28:AK39)</f>
        <v>0</v>
      </c>
      <c r="AU27" s="43">
        <f>SUM(AL28:AL39)</f>
        <v>0</v>
      </c>
    </row>
    <row r="28" spans="1:76" x14ac:dyDescent="0.25">
      <c r="A28" s="1" t="s">
        <v>188</v>
      </c>
      <c r="B28" s="2" t="s">
        <v>189</v>
      </c>
      <c r="C28" s="287" t="s">
        <v>190</v>
      </c>
      <c r="D28" s="284"/>
      <c r="E28" s="2" t="s">
        <v>191</v>
      </c>
      <c r="F28" s="37">
        <v>10</v>
      </c>
      <c r="G28" s="66">
        <v>0</v>
      </c>
      <c r="H28" s="37">
        <f t="shared" ref="H28:H39" si="0">F28*AO28</f>
        <v>0</v>
      </c>
      <c r="I28" s="37">
        <f t="shared" ref="I28:I39" si="1">F28*AP28</f>
        <v>0</v>
      </c>
      <c r="J28" s="37">
        <f t="shared" ref="J28:J39" si="2">F28*G28</f>
        <v>0</v>
      </c>
      <c r="K28" s="67" t="s">
        <v>151</v>
      </c>
      <c r="Z28" s="37">
        <f t="shared" ref="Z28:Z39" si="3">IF(AQ28="5",BJ28,0)</f>
        <v>0</v>
      </c>
      <c r="AB28" s="37">
        <f t="shared" ref="AB28:AB39" si="4">IF(AQ28="1",BH28,0)</f>
        <v>0</v>
      </c>
      <c r="AC28" s="37">
        <f t="shared" ref="AC28:AC39" si="5">IF(AQ28="1",BI28,0)</f>
        <v>0</v>
      </c>
      <c r="AD28" s="37">
        <f t="shared" ref="AD28:AD39" si="6">IF(AQ28="7",BH28,0)</f>
        <v>0</v>
      </c>
      <c r="AE28" s="37">
        <f t="shared" ref="AE28:AE39" si="7">IF(AQ28="7",BI28,0)</f>
        <v>0</v>
      </c>
      <c r="AF28" s="37">
        <f t="shared" ref="AF28:AF39" si="8">IF(AQ28="2",BH28,0)</f>
        <v>0</v>
      </c>
      <c r="AG28" s="37">
        <f t="shared" ref="AG28:AG39" si="9">IF(AQ28="2",BI28,0)</f>
        <v>0</v>
      </c>
      <c r="AH28" s="37">
        <f t="shared" ref="AH28:AH39" si="10">IF(AQ28="0",BJ28,0)</f>
        <v>0</v>
      </c>
      <c r="AI28" s="49" t="s">
        <v>82</v>
      </c>
      <c r="AJ28" s="37">
        <f t="shared" ref="AJ28:AJ39" si="11">IF(AN28=0,J28,0)</f>
        <v>0</v>
      </c>
      <c r="AK28" s="37">
        <f t="shared" ref="AK28:AK39" si="12">IF(AN28=12,J28,0)</f>
        <v>0</v>
      </c>
      <c r="AL28" s="37">
        <f t="shared" ref="AL28:AL39" si="13">IF(AN28=21,J28,0)</f>
        <v>0</v>
      </c>
      <c r="AN28" s="37">
        <v>21</v>
      </c>
      <c r="AO28" s="37">
        <f>G28*0.616549186</f>
        <v>0</v>
      </c>
      <c r="AP28" s="37">
        <f>G28*(1-0.616549186)</f>
        <v>0</v>
      </c>
      <c r="AQ28" s="68" t="s">
        <v>174</v>
      </c>
      <c r="AV28" s="37">
        <f t="shared" ref="AV28:AV39" si="14">AW28+AX28</f>
        <v>0</v>
      </c>
      <c r="AW28" s="37">
        <f t="shared" ref="AW28:AW39" si="15">F28*AO28</f>
        <v>0</v>
      </c>
      <c r="AX28" s="37">
        <f t="shared" ref="AX28:AX39" si="16">F28*AP28</f>
        <v>0</v>
      </c>
      <c r="AY28" s="68" t="s">
        <v>192</v>
      </c>
      <c r="AZ28" s="68" t="s">
        <v>193</v>
      </c>
      <c r="BA28" s="49" t="s">
        <v>154</v>
      </c>
      <c r="BC28" s="37">
        <f t="shared" ref="BC28:BC39" si="17">AW28+AX28</f>
        <v>0</v>
      </c>
      <c r="BD28" s="37">
        <f t="shared" ref="BD28:BD39" si="18">G28/(100-BE28)*100</f>
        <v>0</v>
      </c>
      <c r="BE28" s="37">
        <v>0</v>
      </c>
      <c r="BF28" s="37">
        <f>28</f>
        <v>28</v>
      </c>
      <c r="BH28" s="37">
        <f t="shared" ref="BH28:BH39" si="19">F28*AO28</f>
        <v>0</v>
      </c>
      <c r="BI28" s="37">
        <f t="shared" ref="BI28:BI39" si="20">F28*AP28</f>
        <v>0</v>
      </c>
      <c r="BJ28" s="37">
        <f t="shared" ref="BJ28:BJ39" si="21">F28*G28</f>
        <v>0</v>
      </c>
      <c r="BK28" s="37"/>
      <c r="BL28" s="37">
        <v>733</v>
      </c>
      <c r="BW28" s="37">
        <v>21</v>
      </c>
      <c r="BX28" s="3" t="s">
        <v>190</v>
      </c>
    </row>
    <row r="29" spans="1:76" x14ac:dyDescent="0.25">
      <c r="A29" s="1" t="s">
        <v>194</v>
      </c>
      <c r="B29" s="2" t="s">
        <v>195</v>
      </c>
      <c r="C29" s="287" t="s">
        <v>196</v>
      </c>
      <c r="D29" s="284"/>
      <c r="E29" s="2" t="s">
        <v>191</v>
      </c>
      <c r="F29" s="37">
        <v>6</v>
      </c>
      <c r="G29" s="66">
        <v>0</v>
      </c>
      <c r="H29" s="37">
        <f t="shared" si="0"/>
        <v>0</v>
      </c>
      <c r="I29" s="37">
        <f t="shared" si="1"/>
        <v>0</v>
      </c>
      <c r="J29" s="37">
        <f t="shared" si="2"/>
        <v>0</v>
      </c>
      <c r="K29" s="67" t="s">
        <v>151</v>
      </c>
      <c r="Z29" s="37">
        <f t="shared" si="3"/>
        <v>0</v>
      </c>
      <c r="AB29" s="37">
        <f t="shared" si="4"/>
        <v>0</v>
      </c>
      <c r="AC29" s="37">
        <f t="shared" si="5"/>
        <v>0</v>
      </c>
      <c r="AD29" s="37">
        <f t="shared" si="6"/>
        <v>0</v>
      </c>
      <c r="AE29" s="37">
        <f t="shared" si="7"/>
        <v>0</v>
      </c>
      <c r="AF29" s="37">
        <f t="shared" si="8"/>
        <v>0</v>
      </c>
      <c r="AG29" s="37">
        <f t="shared" si="9"/>
        <v>0</v>
      </c>
      <c r="AH29" s="37">
        <f t="shared" si="10"/>
        <v>0</v>
      </c>
      <c r="AI29" s="49" t="s">
        <v>82</v>
      </c>
      <c r="AJ29" s="37">
        <f t="shared" si="11"/>
        <v>0</v>
      </c>
      <c r="AK29" s="37">
        <f t="shared" si="12"/>
        <v>0</v>
      </c>
      <c r="AL29" s="37">
        <f t="shared" si="13"/>
        <v>0</v>
      </c>
      <c r="AN29" s="37">
        <v>21</v>
      </c>
      <c r="AO29" s="37">
        <f>G29*0.276251455</f>
        <v>0</v>
      </c>
      <c r="AP29" s="37">
        <f>G29*(1-0.276251455)</f>
        <v>0</v>
      </c>
      <c r="AQ29" s="68" t="s">
        <v>174</v>
      </c>
      <c r="AV29" s="37">
        <f t="shared" si="14"/>
        <v>0</v>
      </c>
      <c r="AW29" s="37">
        <f t="shared" si="15"/>
        <v>0</v>
      </c>
      <c r="AX29" s="37">
        <f t="shared" si="16"/>
        <v>0</v>
      </c>
      <c r="AY29" s="68" t="s">
        <v>192</v>
      </c>
      <c r="AZ29" s="68" t="s">
        <v>193</v>
      </c>
      <c r="BA29" s="49" t="s">
        <v>154</v>
      </c>
      <c r="BC29" s="37">
        <f t="shared" si="17"/>
        <v>0</v>
      </c>
      <c r="BD29" s="37">
        <f t="shared" si="18"/>
        <v>0</v>
      </c>
      <c r="BE29" s="37">
        <v>0</v>
      </c>
      <c r="BF29" s="37">
        <f>29</f>
        <v>29</v>
      </c>
      <c r="BH29" s="37">
        <f t="shared" si="19"/>
        <v>0</v>
      </c>
      <c r="BI29" s="37">
        <f t="shared" si="20"/>
        <v>0</v>
      </c>
      <c r="BJ29" s="37">
        <f t="shared" si="21"/>
        <v>0</v>
      </c>
      <c r="BK29" s="37"/>
      <c r="BL29" s="37">
        <v>733</v>
      </c>
      <c r="BW29" s="37">
        <v>21</v>
      </c>
      <c r="BX29" s="3" t="s">
        <v>196</v>
      </c>
    </row>
    <row r="30" spans="1:76" x14ac:dyDescent="0.25">
      <c r="A30" s="1" t="s">
        <v>197</v>
      </c>
      <c r="B30" s="2" t="s">
        <v>198</v>
      </c>
      <c r="C30" s="287" t="s">
        <v>199</v>
      </c>
      <c r="D30" s="284"/>
      <c r="E30" s="2" t="s">
        <v>191</v>
      </c>
      <c r="F30" s="37">
        <v>12</v>
      </c>
      <c r="G30" s="66">
        <v>0</v>
      </c>
      <c r="H30" s="37">
        <f t="shared" si="0"/>
        <v>0</v>
      </c>
      <c r="I30" s="37">
        <f t="shared" si="1"/>
        <v>0</v>
      </c>
      <c r="J30" s="37">
        <f t="shared" si="2"/>
        <v>0</v>
      </c>
      <c r="K30" s="67" t="s">
        <v>151</v>
      </c>
      <c r="Z30" s="37">
        <f t="shared" si="3"/>
        <v>0</v>
      </c>
      <c r="AB30" s="37">
        <f t="shared" si="4"/>
        <v>0</v>
      </c>
      <c r="AC30" s="37">
        <f t="shared" si="5"/>
        <v>0</v>
      </c>
      <c r="AD30" s="37">
        <f t="shared" si="6"/>
        <v>0</v>
      </c>
      <c r="AE30" s="37">
        <f t="shared" si="7"/>
        <v>0</v>
      </c>
      <c r="AF30" s="37">
        <f t="shared" si="8"/>
        <v>0</v>
      </c>
      <c r="AG30" s="37">
        <f t="shared" si="9"/>
        <v>0</v>
      </c>
      <c r="AH30" s="37">
        <f t="shared" si="10"/>
        <v>0</v>
      </c>
      <c r="AI30" s="49" t="s">
        <v>82</v>
      </c>
      <c r="AJ30" s="37">
        <f t="shared" si="11"/>
        <v>0</v>
      </c>
      <c r="AK30" s="37">
        <f t="shared" si="12"/>
        <v>0</v>
      </c>
      <c r="AL30" s="37">
        <f t="shared" si="13"/>
        <v>0</v>
      </c>
      <c r="AN30" s="37">
        <v>21</v>
      </c>
      <c r="AO30" s="37">
        <f>G30*0.401598579</f>
        <v>0</v>
      </c>
      <c r="AP30" s="37">
        <f>G30*(1-0.401598579)</f>
        <v>0</v>
      </c>
      <c r="AQ30" s="68" t="s">
        <v>174</v>
      </c>
      <c r="AV30" s="37">
        <f t="shared" si="14"/>
        <v>0</v>
      </c>
      <c r="AW30" s="37">
        <f t="shared" si="15"/>
        <v>0</v>
      </c>
      <c r="AX30" s="37">
        <f t="shared" si="16"/>
        <v>0</v>
      </c>
      <c r="AY30" s="68" t="s">
        <v>192</v>
      </c>
      <c r="AZ30" s="68" t="s">
        <v>193</v>
      </c>
      <c r="BA30" s="49" t="s">
        <v>154</v>
      </c>
      <c r="BC30" s="37">
        <f t="shared" si="17"/>
        <v>0</v>
      </c>
      <c r="BD30" s="37">
        <f t="shared" si="18"/>
        <v>0</v>
      </c>
      <c r="BE30" s="37">
        <v>0</v>
      </c>
      <c r="BF30" s="37">
        <f>30</f>
        <v>30</v>
      </c>
      <c r="BH30" s="37">
        <f t="shared" si="19"/>
        <v>0</v>
      </c>
      <c r="BI30" s="37">
        <f t="shared" si="20"/>
        <v>0</v>
      </c>
      <c r="BJ30" s="37">
        <f t="shared" si="21"/>
        <v>0</v>
      </c>
      <c r="BK30" s="37"/>
      <c r="BL30" s="37">
        <v>733</v>
      </c>
      <c r="BW30" s="37">
        <v>21</v>
      </c>
      <c r="BX30" s="3" t="s">
        <v>199</v>
      </c>
    </row>
    <row r="31" spans="1:76" x14ac:dyDescent="0.25">
      <c r="A31" s="1" t="s">
        <v>200</v>
      </c>
      <c r="B31" s="2" t="s">
        <v>201</v>
      </c>
      <c r="C31" s="287" t="s">
        <v>202</v>
      </c>
      <c r="D31" s="284"/>
      <c r="E31" s="2" t="s">
        <v>203</v>
      </c>
      <c r="F31" s="37">
        <v>15</v>
      </c>
      <c r="G31" s="66">
        <v>0</v>
      </c>
      <c r="H31" s="37">
        <f t="shared" si="0"/>
        <v>0</v>
      </c>
      <c r="I31" s="37">
        <f t="shared" si="1"/>
        <v>0</v>
      </c>
      <c r="J31" s="37">
        <f t="shared" si="2"/>
        <v>0</v>
      </c>
      <c r="K31" s="67" t="s">
        <v>151</v>
      </c>
      <c r="Z31" s="37">
        <f t="shared" si="3"/>
        <v>0</v>
      </c>
      <c r="AB31" s="37">
        <f t="shared" si="4"/>
        <v>0</v>
      </c>
      <c r="AC31" s="37">
        <f t="shared" si="5"/>
        <v>0</v>
      </c>
      <c r="AD31" s="37">
        <f t="shared" si="6"/>
        <v>0</v>
      </c>
      <c r="AE31" s="37">
        <f t="shared" si="7"/>
        <v>0</v>
      </c>
      <c r="AF31" s="37">
        <f t="shared" si="8"/>
        <v>0</v>
      </c>
      <c r="AG31" s="37">
        <f t="shared" si="9"/>
        <v>0</v>
      </c>
      <c r="AH31" s="37">
        <f t="shared" si="10"/>
        <v>0</v>
      </c>
      <c r="AI31" s="49" t="s">
        <v>82</v>
      </c>
      <c r="AJ31" s="37">
        <f t="shared" si="11"/>
        <v>0</v>
      </c>
      <c r="AK31" s="37">
        <f t="shared" si="12"/>
        <v>0</v>
      </c>
      <c r="AL31" s="37">
        <f t="shared" si="13"/>
        <v>0</v>
      </c>
      <c r="AN31" s="37">
        <v>21</v>
      </c>
      <c r="AO31" s="37">
        <f>G31*0.463423423</f>
        <v>0</v>
      </c>
      <c r="AP31" s="37">
        <f>G31*(1-0.463423423)</f>
        <v>0</v>
      </c>
      <c r="AQ31" s="68" t="s">
        <v>174</v>
      </c>
      <c r="AV31" s="37">
        <f t="shared" si="14"/>
        <v>0</v>
      </c>
      <c r="AW31" s="37">
        <f t="shared" si="15"/>
        <v>0</v>
      </c>
      <c r="AX31" s="37">
        <f t="shared" si="16"/>
        <v>0</v>
      </c>
      <c r="AY31" s="68" t="s">
        <v>192</v>
      </c>
      <c r="AZ31" s="68" t="s">
        <v>193</v>
      </c>
      <c r="BA31" s="49" t="s">
        <v>154</v>
      </c>
      <c r="BC31" s="37">
        <f t="shared" si="17"/>
        <v>0</v>
      </c>
      <c r="BD31" s="37">
        <f t="shared" si="18"/>
        <v>0</v>
      </c>
      <c r="BE31" s="37">
        <v>0</v>
      </c>
      <c r="BF31" s="37">
        <f>31</f>
        <v>31</v>
      </c>
      <c r="BH31" s="37">
        <f t="shared" si="19"/>
        <v>0</v>
      </c>
      <c r="BI31" s="37">
        <f t="shared" si="20"/>
        <v>0</v>
      </c>
      <c r="BJ31" s="37">
        <f t="shared" si="21"/>
        <v>0</v>
      </c>
      <c r="BK31" s="37"/>
      <c r="BL31" s="37">
        <v>733</v>
      </c>
      <c r="BW31" s="37">
        <v>21</v>
      </c>
      <c r="BX31" s="3" t="s">
        <v>202</v>
      </c>
    </row>
    <row r="32" spans="1:76" x14ac:dyDescent="0.25">
      <c r="A32" s="1" t="s">
        <v>204</v>
      </c>
      <c r="B32" s="2" t="s">
        <v>205</v>
      </c>
      <c r="C32" s="287" t="s">
        <v>206</v>
      </c>
      <c r="D32" s="284"/>
      <c r="E32" s="2" t="s">
        <v>203</v>
      </c>
      <c r="F32" s="37">
        <v>5</v>
      </c>
      <c r="G32" s="66">
        <v>0</v>
      </c>
      <c r="H32" s="37">
        <f t="shared" si="0"/>
        <v>0</v>
      </c>
      <c r="I32" s="37">
        <f t="shared" si="1"/>
        <v>0</v>
      </c>
      <c r="J32" s="37">
        <f t="shared" si="2"/>
        <v>0</v>
      </c>
      <c r="K32" s="67" t="s">
        <v>151</v>
      </c>
      <c r="Z32" s="37">
        <f t="shared" si="3"/>
        <v>0</v>
      </c>
      <c r="AB32" s="37">
        <f t="shared" si="4"/>
        <v>0</v>
      </c>
      <c r="AC32" s="37">
        <f t="shared" si="5"/>
        <v>0</v>
      </c>
      <c r="AD32" s="37">
        <f t="shared" si="6"/>
        <v>0</v>
      </c>
      <c r="AE32" s="37">
        <f t="shared" si="7"/>
        <v>0</v>
      </c>
      <c r="AF32" s="37">
        <f t="shared" si="8"/>
        <v>0</v>
      </c>
      <c r="AG32" s="37">
        <f t="shared" si="9"/>
        <v>0</v>
      </c>
      <c r="AH32" s="37">
        <f t="shared" si="10"/>
        <v>0</v>
      </c>
      <c r="AI32" s="49" t="s">
        <v>82</v>
      </c>
      <c r="AJ32" s="37">
        <f t="shared" si="11"/>
        <v>0</v>
      </c>
      <c r="AK32" s="37">
        <f t="shared" si="12"/>
        <v>0</v>
      </c>
      <c r="AL32" s="37">
        <f t="shared" si="13"/>
        <v>0</v>
      </c>
      <c r="AN32" s="37">
        <v>21</v>
      </c>
      <c r="AO32" s="37">
        <f>G32*0.512285409</f>
        <v>0</v>
      </c>
      <c r="AP32" s="37">
        <f>G32*(1-0.512285409)</f>
        <v>0</v>
      </c>
      <c r="AQ32" s="68" t="s">
        <v>174</v>
      </c>
      <c r="AV32" s="37">
        <f t="shared" si="14"/>
        <v>0</v>
      </c>
      <c r="AW32" s="37">
        <f t="shared" si="15"/>
        <v>0</v>
      </c>
      <c r="AX32" s="37">
        <f t="shared" si="16"/>
        <v>0</v>
      </c>
      <c r="AY32" s="68" t="s">
        <v>192</v>
      </c>
      <c r="AZ32" s="68" t="s">
        <v>193</v>
      </c>
      <c r="BA32" s="49" t="s">
        <v>154</v>
      </c>
      <c r="BC32" s="37">
        <f t="shared" si="17"/>
        <v>0</v>
      </c>
      <c r="BD32" s="37">
        <f t="shared" si="18"/>
        <v>0</v>
      </c>
      <c r="BE32" s="37">
        <v>0</v>
      </c>
      <c r="BF32" s="37">
        <f>32</f>
        <v>32</v>
      </c>
      <c r="BH32" s="37">
        <f t="shared" si="19"/>
        <v>0</v>
      </c>
      <c r="BI32" s="37">
        <f t="shared" si="20"/>
        <v>0</v>
      </c>
      <c r="BJ32" s="37">
        <f t="shared" si="21"/>
        <v>0</v>
      </c>
      <c r="BK32" s="37"/>
      <c r="BL32" s="37">
        <v>733</v>
      </c>
      <c r="BW32" s="37">
        <v>21</v>
      </c>
      <c r="BX32" s="3" t="s">
        <v>206</v>
      </c>
    </row>
    <row r="33" spans="1:76" x14ac:dyDescent="0.25">
      <c r="A33" s="1" t="s">
        <v>207</v>
      </c>
      <c r="B33" s="2" t="s">
        <v>208</v>
      </c>
      <c r="C33" s="287" t="s">
        <v>209</v>
      </c>
      <c r="D33" s="284"/>
      <c r="E33" s="2" t="s">
        <v>203</v>
      </c>
      <c r="F33" s="37">
        <v>5</v>
      </c>
      <c r="G33" s="66">
        <v>0</v>
      </c>
      <c r="H33" s="37">
        <f t="shared" si="0"/>
        <v>0</v>
      </c>
      <c r="I33" s="37">
        <f t="shared" si="1"/>
        <v>0</v>
      </c>
      <c r="J33" s="37">
        <f t="shared" si="2"/>
        <v>0</v>
      </c>
      <c r="K33" s="67" t="s">
        <v>151</v>
      </c>
      <c r="Z33" s="37">
        <f t="shared" si="3"/>
        <v>0</v>
      </c>
      <c r="AB33" s="37">
        <f t="shared" si="4"/>
        <v>0</v>
      </c>
      <c r="AC33" s="37">
        <f t="shared" si="5"/>
        <v>0</v>
      </c>
      <c r="AD33" s="37">
        <f t="shared" si="6"/>
        <v>0</v>
      </c>
      <c r="AE33" s="37">
        <f t="shared" si="7"/>
        <v>0</v>
      </c>
      <c r="AF33" s="37">
        <f t="shared" si="8"/>
        <v>0</v>
      </c>
      <c r="AG33" s="37">
        <f t="shared" si="9"/>
        <v>0</v>
      </c>
      <c r="AH33" s="37">
        <f t="shared" si="10"/>
        <v>0</v>
      </c>
      <c r="AI33" s="49" t="s">
        <v>82</v>
      </c>
      <c r="AJ33" s="37">
        <f t="shared" si="11"/>
        <v>0</v>
      </c>
      <c r="AK33" s="37">
        <f t="shared" si="12"/>
        <v>0</v>
      </c>
      <c r="AL33" s="37">
        <f t="shared" si="13"/>
        <v>0</v>
      </c>
      <c r="AN33" s="37">
        <v>21</v>
      </c>
      <c r="AO33" s="37">
        <f>G33*0.543588284</f>
        <v>0</v>
      </c>
      <c r="AP33" s="37">
        <f>G33*(1-0.543588284)</f>
        <v>0</v>
      </c>
      <c r="AQ33" s="68" t="s">
        <v>174</v>
      </c>
      <c r="AV33" s="37">
        <f t="shared" si="14"/>
        <v>0</v>
      </c>
      <c r="AW33" s="37">
        <f t="shared" si="15"/>
        <v>0</v>
      </c>
      <c r="AX33" s="37">
        <f t="shared" si="16"/>
        <v>0</v>
      </c>
      <c r="AY33" s="68" t="s">
        <v>192</v>
      </c>
      <c r="AZ33" s="68" t="s">
        <v>193</v>
      </c>
      <c r="BA33" s="49" t="s">
        <v>154</v>
      </c>
      <c r="BC33" s="37">
        <f t="shared" si="17"/>
        <v>0</v>
      </c>
      <c r="BD33" s="37">
        <f t="shared" si="18"/>
        <v>0</v>
      </c>
      <c r="BE33" s="37">
        <v>0</v>
      </c>
      <c r="BF33" s="37">
        <f>33</f>
        <v>33</v>
      </c>
      <c r="BH33" s="37">
        <f t="shared" si="19"/>
        <v>0</v>
      </c>
      <c r="BI33" s="37">
        <f t="shared" si="20"/>
        <v>0</v>
      </c>
      <c r="BJ33" s="37">
        <f t="shared" si="21"/>
        <v>0</v>
      </c>
      <c r="BK33" s="37"/>
      <c r="BL33" s="37">
        <v>733</v>
      </c>
      <c r="BW33" s="37">
        <v>21</v>
      </c>
      <c r="BX33" s="3" t="s">
        <v>209</v>
      </c>
    </row>
    <row r="34" spans="1:76" x14ac:dyDescent="0.25">
      <c r="A34" s="1" t="s">
        <v>210</v>
      </c>
      <c r="B34" s="2" t="s">
        <v>211</v>
      </c>
      <c r="C34" s="287" t="s">
        <v>212</v>
      </c>
      <c r="D34" s="284"/>
      <c r="E34" s="2" t="s">
        <v>203</v>
      </c>
      <c r="F34" s="37">
        <v>5</v>
      </c>
      <c r="G34" s="66">
        <v>0</v>
      </c>
      <c r="H34" s="37">
        <f t="shared" si="0"/>
        <v>0</v>
      </c>
      <c r="I34" s="37">
        <f t="shared" si="1"/>
        <v>0</v>
      </c>
      <c r="J34" s="37">
        <f t="shared" si="2"/>
        <v>0</v>
      </c>
      <c r="K34" s="67" t="s">
        <v>151</v>
      </c>
      <c r="Z34" s="37">
        <f t="shared" si="3"/>
        <v>0</v>
      </c>
      <c r="AB34" s="37">
        <f t="shared" si="4"/>
        <v>0</v>
      </c>
      <c r="AC34" s="37">
        <f t="shared" si="5"/>
        <v>0</v>
      </c>
      <c r="AD34" s="37">
        <f t="shared" si="6"/>
        <v>0</v>
      </c>
      <c r="AE34" s="37">
        <f t="shared" si="7"/>
        <v>0</v>
      </c>
      <c r="AF34" s="37">
        <f t="shared" si="8"/>
        <v>0</v>
      </c>
      <c r="AG34" s="37">
        <f t="shared" si="9"/>
        <v>0</v>
      </c>
      <c r="AH34" s="37">
        <f t="shared" si="10"/>
        <v>0</v>
      </c>
      <c r="AI34" s="49" t="s">
        <v>82</v>
      </c>
      <c r="AJ34" s="37">
        <f t="shared" si="11"/>
        <v>0</v>
      </c>
      <c r="AK34" s="37">
        <f t="shared" si="12"/>
        <v>0</v>
      </c>
      <c r="AL34" s="37">
        <f t="shared" si="13"/>
        <v>0</v>
      </c>
      <c r="AN34" s="37">
        <v>21</v>
      </c>
      <c r="AO34" s="37">
        <f>G34*0.619967846</f>
        <v>0</v>
      </c>
      <c r="AP34" s="37">
        <f>G34*(1-0.619967846)</f>
        <v>0</v>
      </c>
      <c r="AQ34" s="68" t="s">
        <v>174</v>
      </c>
      <c r="AV34" s="37">
        <f t="shared" si="14"/>
        <v>0</v>
      </c>
      <c r="AW34" s="37">
        <f t="shared" si="15"/>
        <v>0</v>
      </c>
      <c r="AX34" s="37">
        <f t="shared" si="16"/>
        <v>0</v>
      </c>
      <c r="AY34" s="68" t="s">
        <v>192</v>
      </c>
      <c r="AZ34" s="68" t="s">
        <v>193</v>
      </c>
      <c r="BA34" s="49" t="s">
        <v>154</v>
      </c>
      <c r="BC34" s="37">
        <f t="shared" si="17"/>
        <v>0</v>
      </c>
      <c r="BD34" s="37">
        <f t="shared" si="18"/>
        <v>0</v>
      </c>
      <c r="BE34" s="37">
        <v>0</v>
      </c>
      <c r="BF34" s="37">
        <f>34</f>
        <v>34</v>
      </c>
      <c r="BH34" s="37">
        <f t="shared" si="19"/>
        <v>0</v>
      </c>
      <c r="BI34" s="37">
        <f t="shared" si="20"/>
        <v>0</v>
      </c>
      <c r="BJ34" s="37">
        <f t="shared" si="21"/>
        <v>0</v>
      </c>
      <c r="BK34" s="37"/>
      <c r="BL34" s="37">
        <v>733</v>
      </c>
      <c r="BW34" s="37">
        <v>21</v>
      </c>
      <c r="BX34" s="3" t="s">
        <v>212</v>
      </c>
    </row>
    <row r="35" spans="1:76" x14ac:dyDescent="0.25">
      <c r="A35" s="1" t="s">
        <v>213</v>
      </c>
      <c r="B35" s="2" t="s">
        <v>214</v>
      </c>
      <c r="C35" s="287" t="s">
        <v>215</v>
      </c>
      <c r="D35" s="284"/>
      <c r="E35" s="2" t="s">
        <v>191</v>
      </c>
      <c r="F35" s="37">
        <v>24</v>
      </c>
      <c r="G35" s="66">
        <v>0</v>
      </c>
      <c r="H35" s="37">
        <f t="shared" si="0"/>
        <v>0</v>
      </c>
      <c r="I35" s="37">
        <f t="shared" si="1"/>
        <v>0</v>
      </c>
      <c r="J35" s="37">
        <f t="shared" si="2"/>
        <v>0</v>
      </c>
      <c r="K35" s="67" t="s">
        <v>151</v>
      </c>
      <c r="Z35" s="37">
        <f t="shared" si="3"/>
        <v>0</v>
      </c>
      <c r="AB35" s="37">
        <f t="shared" si="4"/>
        <v>0</v>
      </c>
      <c r="AC35" s="37">
        <f t="shared" si="5"/>
        <v>0</v>
      </c>
      <c r="AD35" s="37">
        <f t="shared" si="6"/>
        <v>0</v>
      </c>
      <c r="AE35" s="37">
        <f t="shared" si="7"/>
        <v>0</v>
      </c>
      <c r="AF35" s="37">
        <f t="shared" si="8"/>
        <v>0</v>
      </c>
      <c r="AG35" s="37">
        <f t="shared" si="9"/>
        <v>0</v>
      </c>
      <c r="AH35" s="37">
        <f t="shared" si="10"/>
        <v>0</v>
      </c>
      <c r="AI35" s="49" t="s">
        <v>82</v>
      </c>
      <c r="AJ35" s="37">
        <f t="shared" si="11"/>
        <v>0</v>
      </c>
      <c r="AK35" s="37">
        <f t="shared" si="12"/>
        <v>0</v>
      </c>
      <c r="AL35" s="37">
        <f t="shared" si="13"/>
        <v>0</v>
      </c>
      <c r="AN35" s="37">
        <v>21</v>
      </c>
      <c r="AO35" s="37">
        <f>G35*0</f>
        <v>0</v>
      </c>
      <c r="AP35" s="37">
        <f>G35*(1-0)</f>
        <v>0</v>
      </c>
      <c r="AQ35" s="68" t="s">
        <v>174</v>
      </c>
      <c r="AV35" s="37">
        <f t="shared" si="14"/>
        <v>0</v>
      </c>
      <c r="AW35" s="37">
        <f t="shared" si="15"/>
        <v>0</v>
      </c>
      <c r="AX35" s="37">
        <f t="shared" si="16"/>
        <v>0</v>
      </c>
      <c r="AY35" s="68" t="s">
        <v>192</v>
      </c>
      <c r="AZ35" s="68" t="s">
        <v>193</v>
      </c>
      <c r="BA35" s="49" t="s">
        <v>154</v>
      </c>
      <c r="BC35" s="37">
        <f t="shared" si="17"/>
        <v>0</v>
      </c>
      <c r="BD35" s="37">
        <f t="shared" si="18"/>
        <v>0</v>
      </c>
      <c r="BE35" s="37">
        <v>0</v>
      </c>
      <c r="BF35" s="37">
        <f>35</f>
        <v>35</v>
      </c>
      <c r="BH35" s="37">
        <f t="shared" si="19"/>
        <v>0</v>
      </c>
      <c r="BI35" s="37">
        <f t="shared" si="20"/>
        <v>0</v>
      </c>
      <c r="BJ35" s="37">
        <f t="shared" si="21"/>
        <v>0</v>
      </c>
      <c r="BK35" s="37"/>
      <c r="BL35" s="37">
        <v>733</v>
      </c>
      <c r="BW35" s="37">
        <v>21</v>
      </c>
      <c r="BX35" s="3" t="s">
        <v>215</v>
      </c>
    </row>
    <row r="36" spans="1:76" x14ac:dyDescent="0.25">
      <c r="A36" s="1" t="s">
        <v>216</v>
      </c>
      <c r="B36" s="2" t="s">
        <v>217</v>
      </c>
      <c r="C36" s="287" t="s">
        <v>218</v>
      </c>
      <c r="D36" s="284"/>
      <c r="E36" s="2" t="s">
        <v>191</v>
      </c>
      <c r="F36" s="37">
        <v>24</v>
      </c>
      <c r="G36" s="66">
        <v>0</v>
      </c>
      <c r="H36" s="37">
        <f t="shared" si="0"/>
        <v>0</v>
      </c>
      <c r="I36" s="37">
        <f t="shared" si="1"/>
        <v>0</v>
      </c>
      <c r="J36" s="37">
        <f t="shared" si="2"/>
        <v>0</v>
      </c>
      <c r="K36" s="67" t="s">
        <v>151</v>
      </c>
      <c r="Z36" s="37">
        <f t="shared" si="3"/>
        <v>0</v>
      </c>
      <c r="AB36" s="37">
        <f t="shared" si="4"/>
        <v>0</v>
      </c>
      <c r="AC36" s="37">
        <f t="shared" si="5"/>
        <v>0</v>
      </c>
      <c r="AD36" s="37">
        <f t="shared" si="6"/>
        <v>0</v>
      </c>
      <c r="AE36" s="37">
        <f t="shared" si="7"/>
        <v>0</v>
      </c>
      <c r="AF36" s="37">
        <f t="shared" si="8"/>
        <v>0</v>
      </c>
      <c r="AG36" s="37">
        <f t="shared" si="9"/>
        <v>0</v>
      </c>
      <c r="AH36" s="37">
        <f t="shared" si="10"/>
        <v>0</v>
      </c>
      <c r="AI36" s="49" t="s">
        <v>82</v>
      </c>
      <c r="AJ36" s="37">
        <f t="shared" si="11"/>
        <v>0</v>
      </c>
      <c r="AK36" s="37">
        <f t="shared" si="12"/>
        <v>0</v>
      </c>
      <c r="AL36" s="37">
        <f t="shared" si="13"/>
        <v>0</v>
      </c>
      <c r="AN36" s="37">
        <v>21</v>
      </c>
      <c r="AO36" s="37">
        <f>G36*0</f>
        <v>0</v>
      </c>
      <c r="AP36" s="37">
        <f>G36*(1-0)</f>
        <v>0</v>
      </c>
      <c r="AQ36" s="68" t="s">
        <v>174</v>
      </c>
      <c r="AV36" s="37">
        <f t="shared" si="14"/>
        <v>0</v>
      </c>
      <c r="AW36" s="37">
        <f t="shared" si="15"/>
        <v>0</v>
      </c>
      <c r="AX36" s="37">
        <f t="shared" si="16"/>
        <v>0</v>
      </c>
      <c r="AY36" s="68" t="s">
        <v>192</v>
      </c>
      <c r="AZ36" s="68" t="s">
        <v>193</v>
      </c>
      <c r="BA36" s="49" t="s">
        <v>154</v>
      </c>
      <c r="BC36" s="37">
        <f t="shared" si="17"/>
        <v>0</v>
      </c>
      <c r="BD36" s="37">
        <f t="shared" si="18"/>
        <v>0</v>
      </c>
      <c r="BE36" s="37">
        <v>0</v>
      </c>
      <c r="BF36" s="37">
        <f>36</f>
        <v>36</v>
      </c>
      <c r="BH36" s="37">
        <f t="shared" si="19"/>
        <v>0</v>
      </c>
      <c r="BI36" s="37">
        <f t="shared" si="20"/>
        <v>0</v>
      </c>
      <c r="BJ36" s="37">
        <f t="shared" si="21"/>
        <v>0</v>
      </c>
      <c r="BK36" s="37"/>
      <c r="BL36" s="37">
        <v>733</v>
      </c>
      <c r="BW36" s="37">
        <v>21</v>
      </c>
      <c r="BX36" s="3" t="s">
        <v>218</v>
      </c>
    </row>
    <row r="37" spans="1:76" x14ac:dyDescent="0.25">
      <c r="A37" s="1" t="s">
        <v>219</v>
      </c>
      <c r="B37" s="2" t="s">
        <v>220</v>
      </c>
      <c r="C37" s="287" t="s">
        <v>221</v>
      </c>
      <c r="D37" s="284"/>
      <c r="E37" s="2" t="s">
        <v>203</v>
      </c>
      <c r="F37" s="37">
        <v>30</v>
      </c>
      <c r="G37" s="66">
        <v>0</v>
      </c>
      <c r="H37" s="37">
        <f t="shared" si="0"/>
        <v>0</v>
      </c>
      <c r="I37" s="37">
        <f t="shared" si="1"/>
        <v>0</v>
      </c>
      <c r="J37" s="37">
        <f t="shared" si="2"/>
        <v>0</v>
      </c>
      <c r="K37" s="67" t="s">
        <v>151</v>
      </c>
      <c r="Z37" s="37">
        <f t="shared" si="3"/>
        <v>0</v>
      </c>
      <c r="AB37" s="37">
        <f t="shared" si="4"/>
        <v>0</v>
      </c>
      <c r="AC37" s="37">
        <f t="shared" si="5"/>
        <v>0</v>
      </c>
      <c r="AD37" s="37">
        <f t="shared" si="6"/>
        <v>0</v>
      </c>
      <c r="AE37" s="37">
        <f t="shared" si="7"/>
        <v>0</v>
      </c>
      <c r="AF37" s="37">
        <f t="shared" si="8"/>
        <v>0</v>
      </c>
      <c r="AG37" s="37">
        <f t="shared" si="9"/>
        <v>0</v>
      </c>
      <c r="AH37" s="37">
        <f t="shared" si="10"/>
        <v>0</v>
      </c>
      <c r="AI37" s="49" t="s">
        <v>82</v>
      </c>
      <c r="AJ37" s="37">
        <f t="shared" si="11"/>
        <v>0</v>
      </c>
      <c r="AK37" s="37">
        <f t="shared" si="12"/>
        <v>0</v>
      </c>
      <c r="AL37" s="37">
        <f t="shared" si="13"/>
        <v>0</v>
      </c>
      <c r="AN37" s="37">
        <v>21</v>
      </c>
      <c r="AO37" s="37">
        <f>G37*0.026867276</f>
        <v>0</v>
      </c>
      <c r="AP37" s="37">
        <f>G37*(1-0.026867276)</f>
        <v>0</v>
      </c>
      <c r="AQ37" s="68" t="s">
        <v>174</v>
      </c>
      <c r="AV37" s="37">
        <f t="shared" si="14"/>
        <v>0</v>
      </c>
      <c r="AW37" s="37">
        <f t="shared" si="15"/>
        <v>0</v>
      </c>
      <c r="AX37" s="37">
        <f t="shared" si="16"/>
        <v>0</v>
      </c>
      <c r="AY37" s="68" t="s">
        <v>192</v>
      </c>
      <c r="AZ37" s="68" t="s">
        <v>193</v>
      </c>
      <c r="BA37" s="49" t="s">
        <v>154</v>
      </c>
      <c r="BC37" s="37">
        <f t="shared" si="17"/>
        <v>0</v>
      </c>
      <c r="BD37" s="37">
        <f t="shared" si="18"/>
        <v>0</v>
      </c>
      <c r="BE37" s="37">
        <v>0</v>
      </c>
      <c r="BF37" s="37">
        <f>37</f>
        <v>37</v>
      </c>
      <c r="BH37" s="37">
        <f t="shared" si="19"/>
        <v>0</v>
      </c>
      <c r="BI37" s="37">
        <f t="shared" si="20"/>
        <v>0</v>
      </c>
      <c r="BJ37" s="37">
        <f t="shared" si="21"/>
        <v>0</v>
      </c>
      <c r="BK37" s="37"/>
      <c r="BL37" s="37">
        <v>733</v>
      </c>
      <c r="BW37" s="37">
        <v>21</v>
      </c>
      <c r="BX37" s="3" t="s">
        <v>221</v>
      </c>
    </row>
    <row r="38" spans="1:76" x14ac:dyDescent="0.25">
      <c r="A38" s="1" t="s">
        <v>222</v>
      </c>
      <c r="B38" s="2" t="s">
        <v>223</v>
      </c>
      <c r="C38" s="287" t="s">
        <v>224</v>
      </c>
      <c r="D38" s="284"/>
      <c r="E38" s="2" t="s">
        <v>203</v>
      </c>
      <c r="F38" s="37">
        <v>30</v>
      </c>
      <c r="G38" s="66">
        <v>0</v>
      </c>
      <c r="H38" s="37">
        <f t="shared" si="0"/>
        <v>0</v>
      </c>
      <c r="I38" s="37">
        <f t="shared" si="1"/>
        <v>0</v>
      </c>
      <c r="J38" s="37">
        <f t="shared" si="2"/>
        <v>0</v>
      </c>
      <c r="K38" s="67" t="s">
        <v>151</v>
      </c>
      <c r="Z38" s="37">
        <f t="shared" si="3"/>
        <v>0</v>
      </c>
      <c r="AB38" s="37">
        <f t="shared" si="4"/>
        <v>0</v>
      </c>
      <c r="AC38" s="37">
        <f t="shared" si="5"/>
        <v>0</v>
      </c>
      <c r="AD38" s="37">
        <f t="shared" si="6"/>
        <v>0</v>
      </c>
      <c r="AE38" s="37">
        <f t="shared" si="7"/>
        <v>0</v>
      </c>
      <c r="AF38" s="37">
        <f t="shared" si="8"/>
        <v>0</v>
      </c>
      <c r="AG38" s="37">
        <f t="shared" si="9"/>
        <v>0</v>
      </c>
      <c r="AH38" s="37">
        <f t="shared" si="10"/>
        <v>0</v>
      </c>
      <c r="AI38" s="49" t="s">
        <v>82</v>
      </c>
      <c r="AJ38" s="37">
        <f t="shared" si="11"/>
        <v>0</v>
      </c>
      <c r="AK38" s="37">
        <f t="shared" si="12"/>
        <v>0</v>
      </c>
      <c r="AL38" s="37">
        <f t="shared" si="13"/>
        <v>0</v>
      </c>
      <c r="AN38" s="37">
        <v>21</v>
      </c>
      <c r="AO38" s="37">
        <f>G38*0.536981735</f>
        <v>0</v>
      </c>
      <c r="AP38" s="37">
        <f>G38*(1-0.536981735)</f>
        <v>0</v>
      </c>
      <c r="AQ38" s="68" t="s">
        <v>174</v>
      </c>
      <c r="AV38" s="37">
        <f t="shared" si="14"/>
        <v>0</v>
      </c>
      <c r="AW38" s="37">
        <f t="shared" si="15"/>
        <v>0</v>
      </c>
      <c r="AX38" s="37">
        <f t="shared" si="16"/>
        <v>0</v>
      </c>
      <c r="AY38" s="68" t="s">
        <v>192</v>
      </c>
      <c r="AZ38" s="68" t="s">
        <v>193</v>
      </c>
      <c r="BA38" s="49" t="s">
        <v>154</v>
      </c>
      <c r="BC38" s="37">
        <f t="shared" si="17"/>
        <v>0</v>
      </c>
      <c r="BD38" s="37">
        <f t="shared" si="18"/>
        <v>0</v>
      </c>
      <c r="BE38" s="37">
        <v>0</v>
      </c>
      <c r="BF38" s="37">
        <f>38</f>
        <v>38</v>
      </c>
      <c r="BH38" s="37">
        <f t="shared" si="19"/>
        <v>0</v>
      </c>
      <c r="BI38" s="37">
        <f t="shared" si="20"/>
        <v>0</v>
      </c>
      <c r="BJ38" s="37">
        <f t="shared" si="21"/>
        <v>0</v>
      </c>
      <c r="BK38" s="37"/>
      <c r="BL38" s="37">
        <v>733</v>
      </c>
      <c r="BW38" s="37">
        <v>21</v>
      </c>
      <c r="BX38" s="3" t="s">
        <v>224</v>
      </c>
    </row>
    <row r="39" spans="1:76" x14ac:dyDescent="0.25">
      <c r="A39" s="1" t="s">
        <v>225</v>
      </c>
      <c r="B39" s="2" t="s">
        <v>226</v>
      </c>
      <c r="C39" s="287" t="s">
        <v>227</v>
      </c>
      <c r="D39" s="284"/>
      <c r="E39" s="2" t="s">
        <v>62</v>
      </c>
      <c r="F39" s="37">
        <v>456.13889999999998</v>
      </c>
      <c r="G39" s="66">
        <v>0</v>
      </c>
      <c r="H39" s="37">
        <f t="shared" si="0"/>
        <v>0</v>
      </c>
      <c r="I39" s="37">
        <f t="shared" si="1"/>
        <v>0</v>
      </c>
      <c r="J39" s="37">
        <f t="shared" si="2"/>
        <v>0</v>
      </c>
      <c r="K39" s="67" t="s">
        <v>151</v>
      </c>
      <c r="Z39" s="37">
        <f t="shared" si="3"/>
        <v>0</v>
      </c>
      <c r="AB39" s="37">
        <f t="shared" si="4"/>
        <v>0</v>
      </c>
      <c r="AC39" s="37">
        <f t="shared" si="5"/>
        <v>0</v>
      </c>
      <c r="AD39" s="37">
        <f t="shared" si="6"/>
        <v>0</v>
      </c>
      <c r="AE39" s="37">
        <f t="shared" si="7"/>
        <v>0</v>
      </c>
      <c r="AF39" s="37">
        <f t="shared" si="8"/>
        <v>0</v>
      </c>
      <c r="AG39" s="37">
        <f t="shared" si="9"/>
        <v>0</v>
      </c>
      <c r="AH39" s="37">
        <f t="shared" si="10"/>
        <v>0</v>
      </c>
      <c r="AI39" s="49" t="s">
        <v>82</v>
      </c>
      <c r="AJ39" s="37">
        <f t="shared" si="11"/>
        <v>0</v>
      </c>
      <c r="AK39" s="37">
        <f t="shared" si="12"/>
        <v>0</v>
      </c>
      <c r="AL39" s="37">
        <f t="shared" si="13"/>
        <v>0</v>
      </c>
      <c r="AN39" s="37">
        <v>21</v>
      </c>
      <c r="AO39" s="37">
        <f>G39*0</f>
        <v>0</v>
      </c>
      <c r="AP39" s="37">
        <f>G39*(1-0)</f>
        <v>0</v>
      </c>
      <c r="AQ39" s="68" t="s">
        <v>166</v>
      </c>
      <c r="AV39" s="37">
        <f t="shared" si="14"/>
        <v>0</v>
      </c>
      <c r="AW39" s="37">
        <f t="shared" si="15"/>
        <v>0</v>
      </c>
      <c r="AX39" s="37">
        <f t="shared" si="16"/>
        <v>0</v>
      </c>
      <c r="AY39" s="68" t="s">
        <v>192</v>
      </c>
      <c r="AZ39" s="68" t="s">
        <v>193</v>
      </c>
      <c r="BA39" s="49" t="s">
        <v>154</v>
      </c>
      <c r="BC39" s="37">
        <f t="shared" si="17"/>
        <v>0</v>
      </c>
      <c r="BD39" s="37">
        <f t="shared" si="18"/>
        <v>0</v>
      </c>
      <c r="BE39" s="37">
        <v>0</v>
      </c>
      <c r="BF39" s="37">
        <f>39</f>
        <v>39</v>
      </c>
      <c r="BH39" s="37">
        <f t="shared" si="19"/>
        <v>0</v>
      </c>
      <c r="BI39" s="37">
        <f t="shared" si="20"/>
        <v>0</v>
      </c>
      <c r="BJ39" s="37">
        <f t="shared" si="21"/>
        <v>0</v>
      </c>
      <c r="BK39" s="37"/>
      <c r="BL39" s="37">
        <v>733</v>
      </c>
      <c r="BW39" s="37">
        <v>21</v>
      </c>
      <c r="BX39" s="3" t="s">
        <v>227</v>
      </c>
    </row>
    <row r="40" spans="1:76" x14ac:dyDescent="0.25">
      <c r="A40" s="61" t="s">
        <v>4</v>
      </c>
      <c r="B40" s="62" t="s">
        <v>94</v>
      </c>
      <c r="C40" s="370" t="s">
        <v>95</v>
      </c>
      <c r="D40" s="371"/>
      <c r="E40" s="63" t="s">
        <v>74</v>
      </c>
      <c r="F40" s="63" t="s">
        <v>74</v>
      </c>
      <c r="G40" s="64" t="s">
        <v>74</v>
      </c>
      <c r="H40" s="43">
        <f>SUM(H41:H54)</f>
        <v>0</v>
      </c>
      <c r="I40" s="43">
        <f>SUM(I41:I54)</f>
        <v>0</v>
      </c>
      <c r="J40" s="43">
        <f>SUM(J41:J54)</f>
        <v>0</v>
      </c>
      <c r="K40" s="65" t="s">
        <v>4</v>
      </c>
      <c r="AI40" s="49" t="s">
        <v>82</v>
      </c>
      <c r="AS40" s="43">
        <f>SUM(AJ41:AJ54)</f>
        <v>0</v>
      </c>
      <c r="AT40" s="43">
        <f>SUM(AK41:AK54)</f>
        <v>0</v>
      </c>
      <c r="AU40" s="43">
        <f>SUM(AL41:AL54)</f>
        <v>0</v>
      </c>
    </row>
    <row r="41" spans="1:76" x14ac:dyDescent="0.25">
      <c r="A41" s="1" t="s">
        <v>228</v>
      </c>
      <c r="B41" s="2" t="s">
        <v>229</v>
      </c>
      <c r="C41" s="287" t="s">
        <v>230</v>
      </c>
      <c r="D41" s="284"/>
      <c r="E41" s="2" t="s">
        <v>231</v>
      </c>
      <c r="F41" s="37">
        <v>12</v>
      </c>
      <c r="G41" s="66">
        <v>0</v>
      </c>
      <c r="H41" s="37">
        <f t="shared" ref="H41:H54" si="22">F41*AO41</f>
        <v>0</v>
      </c>
      <c r="I41" s="37">
        <f t="shared" ref="I41:I54" si="23">F41*AP41</f>
        <v>0</v>
      </c>
      <c r="J41" s="37">
        <f t="shared" ref="J41:J54" si="24">F41*G41</f>
        <v>0</v>
      </c>
      <c r="K41" s="67" t="s">
        <v>151</v>
      </c>
      <c r="Z41" s="37">
        <f t="shared" ref="Z41:Z54" si="25">IF(AQ41="5",BJ41,0)</f>
        <v>0</v>
      </c>
      <c r="AB41" s="37">
        <f t="shared" ref="AB41:AB54" si="26">IF(AQ41="1",BH41,0)</f>
        <v>0</v>
      </c>
      <c r="AC41" s="37">
        <f t="shared" ref="AC41:AC54" si="27">IF(AQ41="1",BI41,0)</f>
        <v>0</v>
      </c>
      <c r="AD41" s="37">
        <f t="shared" ref="AD41:AD54" si="28">IF(AQ41="7",BH41,0)</f>
        <v>0</v>
      </c>
      <c r="AE41" s="37">
        <f t="shared" ref="AE41:AE54" si="29">IF(AQ41="7",BI41,0)</f>
        <v>0</v>
      </c>
      <c r="AF41" s="37">
        <f t="shared" ref="AF41:AF54" si="30">IF(AQ41="2",BH41,0)</f>
        <v>0</v>
      </c>
      <c r="AG41" s="37">
        <f t="shared" ref="AG41:AG54" si="31">IF(AQ41="2",BI41,0)</f>
        <v>0</v>
      </c>
      <c r="AH41" s="37">
        <f t="shared" ref="AH41:AH54" si="32">IF(AQ41="0",BJ41,0)</f>
        <v>0</v>
      </c>
      <c r="AI41" s="49" t="s">
        <v>82</v>
      </c>
      <c r="AJ41" s="37">
        <f t="shared" ref="AJ41:AJ54" si="33">IF(AN41=0,J41,0)</f>
        <v>0</v>
      </c>
      <c r="AK41" s="37">
        <f t="shared" ref="AK41:AK54" si="34">IF(AN41=12,J41,0)</f>
        <v>0</v>
      </c>
      <c r="AL41" s="37">
        <f t="shared" ref="AL41:AL54" si="35">IF(AN41=21,J41,0)</f>
        <v>0</v>
      </c>
      <c r="AN41" s="37">
        <v>21</v>
      </c>
      <c r="AO41" s="37">
        <f>G41*0.559057143</f>
        <v>0</v>
      </c>
      <c r="AP41" s="37">
        <f>G41*(1-0.559057143)</f>
        <v>0</v>
      </c>
      <c r="AQ41" s="68" t="s">
        <v>174</v>
      </c>
      <c r="AV41" s="37">
        <f t="shared" ref="AV41:AV54" si="36">AW41+AX41</f>
        <v>0</v>
      </c>
      <c r="AW41" s="37">
        <f t="shared" ref="AW41:AW54" si="37">F41*AO41</f>
        <v>0</v>
      </c>
      <c r="AX41" s="37">
        <f t="shared" ref="AX41:AX54" si="38">F41*AP41</f>
        <v>0</v>
      </c>
      <c r="AY41" s="68" t="s">
        <v>232</v>
      </c>
      <c r="AZ41" s="68" t="s">
        <v>193</v>
      </c>
      <c r="BA41" s="49" t="s">
        <v>154</v>
      </c>
      <c r="BC41" s="37">
        <f t="shared" ref="BC41:BC54" si="39">AW41+AX41</f>
        <v>0</v>
      </c>
      <c r="BD41" s="37">
        <f t="shared" ref="BD41:BD54" si="40">G41/(100-BE41)*100</f>
        <v>0</v>
      </c>
      <c r="BE41" s="37">
        <v>0</v>
      </c>
      <c r="BF41" s="37">
        <f>41</f>
        <v>41</v>
      </c>
      <c r="BH41" s="37">
        <f t="shared" ref="BH41:BH54" si="41">F41*AO41</f>
        <v>0</v>
      </c>
      <c r="BI41" s="37">
        <f t="shared" ref="BI41:BI54" si="42">F41*AP41</f>
        <v>0</v>
      </c>
      <c r="BJ41" s="37">
        <f t="shared" ref="BJ41:BJ54" si="43">F41*G41</f>
        <v>0</v>
      </c>
      <c r="BK41" s="37"/>
      <c r="BL41" s="37">
        <v>734</v>
      </c>
      <c r="BW41" s="37">
        <v>21</v>
      </c>
      <c r="BX41" s="3" t="s">
        <v>230</v>
      </c>
    </row>
    <row r="42" spans="1:76" x14ac:dyDescent="0.25">
      <c r="A42" s="1" t="s">
        <v>233</v>
      </c>
      <c r="B42" s="2" t="s">
        <v>234</v>
      </c>
      <c r="C42" s="287" t="s">
        <v>235</v>
      </c>
      <c r="D42" s="284"/>
      <c r="E42" s="2" t="s">
        <v>191</v>
      </c>
      <c r="F42" s="37">
        <v>6</v>
      </c>
      <c r="G42" s="66">
        <v>0</v>
      </c>
      <c r="H42" s="37">
        <f t="shared" si="22"/>
        <v>0</v>
      </c>
      <c r="I42" s="37">
        <f t="shared" si="23"/>
        <v>0</v>
      </c>
      <c r="J42" s="37">
        <f t="shared" si="24"/>
        <v>0</v>
      </c>
      <c r="K42" s="67" t="s">
        <v>151</v>
      </c>
      <c r="Z42" s="37">
        <f t="shared" si="25"/>
        <v>0</v>
      </c>
      <c r="AB42" s="37">
        <f t="shared" si="26"/>
        <v>0</v>
      </c>
      <c r="AC42" s="37">
        <f t="shared" si="27"/>
        <v>0</v>
      </c>
      <c r="AD42" s="37">
        <f t="shared" si="28"/>
        <v>0</v>
      </c>
      <c r="AE42" s="37">
        <f t="shared" si="29"/>
        <v>0</v>
      </c>
      <c r="AF42" s="37">
        <f t="shared" si="30"/>
        <v>0</v>
      </c>
      <c r="AG42" s="37">
        <f t="shared" si="31"/>
        <v>0</v>
      </c>
      <c r="AH42" s="37">
        <f t="shared" si="32"/>
        <v>0</v>
      </c>
      <c r="AI42" s="49" t="s">
        <v>82</v>
      </c>
      <c r="AJ42" s="37">
        <f t="shared" si="33"/>
        <v>0</v>
      </c>
      <c r="AK42" s="37">
        <f t="shared" si="34"/>
        <v>0</v>
      </c>
      <c r="AL42" s="37">
        <f t="shared" si="35"/>
        <v>0</v>
      </c>
      <c r="AN42" s="37">
        <v>21</v>
      </c>
      <c r="AO42" s="37">
        <f>G42*0.900164069</f>
        <v>0</v>
      </c>
      <c r="AP42" s="37">
        <f>G42*(1-0.900164069)</f>
        <v>0</v>
      </c>
      <c r="AQ42" s="68" t="s">
        <v>174</v>
      </c>
      <c r="AV42" s="37">
        <f t="shared" si="36"/>
        <v>0</v>
      </c>
      <c r="AW42" s="37">
        <f t="shared" si="37"/>
        <v>0</v>
      </c>
      <c r="AX42" s="37">
        <f t="shared" si="38"/>
        <v>0</v>
      </c>
      <c r="AY42" s="68" t="s">
        <v>232</v>
      </c>
      <c r="AZ42" s="68" t="s">
        <v>193</v>
      </c>
      <c r="BA42" s="49" t="s">
        <v>154</v>
      </c>
      <c r="BC42" s="37">
        <f t="shared" si="39"/>
        <v>0</v>
      </c>
      <c r="BD42" s="37">
        <f t="shared" si="40"/>
        <v>0</v>
      </c>
      <c r="BE42" s="37">
        <v>0</v>
      </c>
      <c r="BF42" s="37">
        <f>42</f>
        <v>42</v>
      </c>
      <c r="BH42" s="37">
        <f t="shared" si="41"/>
        <v>0</v>
      </c>
      <c r="BI42" s="37">
        <f t="shared" si="42"/>
        <v>0</v>
      </c>
      <c r="BJ42" s="37">
        <f t="shared" si="43"/>
        <v>0</v>
      </c>
      <c r="BK42" s="37"/>
      <c r="BL42" s="37">
        <v>734</v>
      </c>
      <c r="BW42" s="37">
        <v>21</v>
      </c>
      <c r="BX42" s="3" t="s">
        <v>235</v>
      </c>
    </row>
    <row r="43" spans="1:76" x14ac:dyDescent="0.25">
      <c r="A43" s="1" t="s">
        <v>236</v>
      </c>
      <c r="B43" s="2" t="s">
        <v>237</v>
      </c>
      <c r="C43" s="287" t="s">
        <v>238</v>
      </c>
      <c r="D43" s="284"/>
      <c r="E43" s="2" t="s">
        <v>191</v>
      </c>
      <c r="F43" s="37">
        <v>2</v>
      </c>
      <c r="G43" s="66">
        <v>0</v>
      </c>
      <c r="H43" s="37">
        <f t="shared" si="22"/>
        <v>0</v>
      </c>
      <c r="I43" s="37">
        <f t="shared" si="23"/>
        <v>0</v>
      </c>
      <c r="J43" s="37">
        <f t="shared" si="24"/>
        <v>0</v>
      </c>
      <c r="K43" s="67" t="s">
        <v>151</v>
      </c>
      <c r="Z43" s="37">
        <f t="shared" si="25"/>
        <v>0</v>
      </c>
      <c r="AB43" s="37">
        <f t="shared" si="26"/>
        <v>0</v>
      </c>
      <c r="AC43" s="37">
        <f t="shared" si="27"/>
        <v>0</v>
      </c>
      <c r="AD43" s="37">
        <f t="shared" si="28"/>
        <v>0</v>
      </c>
      <c r="AE43" s="37">
        <f t="shared" si="29"/>
        <v>0</v>
      </c>
      <c r="AF43" s="37">
        <f t="shared" si="30"/>
        <v>0</v>
      </c>
      <c r="AG43" s="37">
        <f t="shared" si="31"/>
        <v>0</v>
      </c>
      <c r="AH43" s="37">
        <f t="shared" si="32"/>
        <v>0</v>
      </c>
      <c r="AI43" s="49" t="s">
        <v>82</v>
      </c>
      <c r="AJ43" s="37">
        <f t="shared" si="33"/>
        <v>0</v>
      </c>
      <c r="AK43" s="37">
        <f t="shared" si="34"/>
        <v>0</v>
      </c>
      <c r="AL43" s="37">
        <f t="shared" si="35"/>
        <v>0</v>
      </c>
      <c r="AN43" s="37">
        <v>21</v>
      </c>
      <c r="AO43" s="37">
        <f>G43*0.917661647</f>
        <v>0</v>
      </c>
      <c r="AP43" s="37">
        <f>G43*(1-0.917661647)</f>
        <v>0</v>
      </c>
      <c r="AQ43" s="68" t="s">
        <v>174</v>
      </c>
      <c r="AV43" s="37">
        <f t="shared" si="36"/>
        <v>0</v>
      </c>
      <c r="AW43" s="37">
        <f t="shared" si="37"/>
        <v>0</v>
      </c>
      <c r="AX43" s="37">
        <f t="shared" si="38"/>
        <v>0</v>
      </c>
      <c r="AY43" s="68" t="s">
        <v>232</v>
      </c>
      <c r="AZ43" s="68" t="s">
        <v>193</v>
      </c>
      <c r="BA43" s="49" t="s">
        <v>154</v>
      </c>
      <c r="BC43" s="37">
        <f t="shared" si="39"/>
        <v>0</v>
      </c>
      <c r="BD43" s="37">
        <f t="shared" si="40"/>
        <v>0</v>
      </c>
      <c r="BE43" s="37">
        <v>0</v>
      </c>
      <c r="BF43" s="37">
        <f>43</f>
        <v>43</v>
      </c>
      <c r="BH43" s="37">
        <f t="shared" si="41"/>
        <v>0</v>
      </c>
      <c r="BI43" s="37">
        <f t="shared" si="42"/>
        <v>0</v>
      </c>
      <c r="BJ43" s="37">
        <f t="shared" si="43"/>
        <v>0</v>
      </c>
      <c r="BK43" s="37"/>
      <c r="BL43" s="37">
        <v>734</v>
      </c>
      <c r="BW43" s="37">
        <v>21</v>
      </c>
      <c r="BX43" s="3" t="s">
        <v>238</v>
      </c>
    </row>
    <row r="44" spans="1:76" x14ac:dyDescent="0.25">
      <c r="A44" s="1" t="s">
        <v>239</v>
      </c>
      <c r="B44" s="2" t="s">
        <v>240</v>
      </c>
      <c r="C44" s="287" t="s">
        <v>241</v>
      </c>
      <c r="D44" s="284"/>
      <c r="E44" s="2" t="s">
        <v>191</v>
      </c>
      <c r="F44" s="37">
        <v>24</v>
      </c>
      <c r="G44" s="66">
        <v>0</v>
      </c>
      <c r="H44" s="37">
        <f t="shared" si="22"/>
        <v>0</v>
      </c>
      <c r="I44" s="37">
        <f t="shared" si="23"/>
        <v>0</v>
      </c>
      <c r="J44" s="37">
        <f t="shared" si="24"/>
        <v>0</v>
      </c>
      <c r="K44" s="67" t="s">
        <v>151</v>
      </c>
      <c r="Z44" s="37">
        <f t="shared" si="25"/>
        <v>0</v>
      </c>
      <c r="AB44" s="37">
        <f t="shared" si="26"/>
        <v>0</v>
      </c>
      <c r="AC44" s="37">
        <f t="shared" si="27"/>
        <v>0</v>
      </c>
      <c r="AD44" s="37">
        <f t="shared" si="28"/>
        <v>0</v>
      </c>
      <c r="AE44" s="37">
        <f t="shared" si="29"/>
        <v>0</v>
      </c>
      <c r="AF44" s="37">
        <f t="shared" si="30"/>
        <v>0</v>
      </c>
      <c r="AG44" s="37">
        <f t="shared" si="31"/>
        <v>0</v>
      </c>
      <c r="AH44" s="37">
        <f t="shared" si="32"/>
        <v>0</v>
      </c>
      <c r="AI44" s="49" t="s">
        <v>82</v>
      </c>
      <c r="AJ44" s="37">
        <f t="shared" si="33"/>
        <v>0</v>
      </c>
      <c r="AK44" s="37">
        <f t="shared" si="34"/>
        <v>0</v>
      </c>
      <c r="AL44" s="37">
        <f t="shared" si="35"/>
        <v>0</v>
      </c>
      <c r="AN44" s="37">
        <v>21</v>
      </c>
      <c r="AO44" s="37">
        <f>G44*0.810326797</f>
        <v>0</v>
      </c>
      <c r="AP44" s="37">
        <f>G44*(1-0.810326797)</f>
        <v>0</v>
      </c>
      <c r="AQ44" s="68" t="s">
        <v>174</v>
      </c>
      <c r="AV44" s="37">
        <f t="shared" si="36"/>
        <v>0</v>
      </c>
      <c r="AW44" s="37">
        <f t="shared" si="37"/>
        <v>0</v>
      </c>
      <c r="AX44" s="37">
        <f t="shared" si="38"/>
        <v>0</v>
      </c>
      <c r="AY44" s="68" t="s">
        <v>232</v>
      </c>
      <c r="AZ44" s="68" t="s">
        <v>193</v>
      </c>
      <c r="BA44" s="49" t="s">
        <v>154</v>
      </c>
      <c r="BC44" s="37">
        <f t="shared" si="39"/>
        <v>0</v>
      </c>
      <c r="BD44" s="37">
        <f t="shared" si="40"/>
        <v>0</v>
      </c>
      <c r="BE44" s="37">
        <v>0</v>
      </c>
      <c r="BF44" s="37">
        <f>44</f>
        <v>44</v>
      </c>
      <c r="BH44" s="37">
        <f t="shared" si="41"/>
        <v>0</v>
      </c>
      <c r="BI44" s="37">
        <f t="shared" si="42"/>
        <v>0</v>
      </c>
      <c r="BJ44" s="37">
        <f t="shared" si="43"/>
        <v>0</v>
      </c>
      <c r="BK44" s="37"/>
      <c r="BL44" s="37">
        <v>734</v>
      </c>
      <c r="BW44" s="37">
        <v>21</v>
      </c>
      <c r="BX44" s="3" t="s">
        <v>241</v>
      </c>
    </row>
    <row r="45" spans="1:76" x14ac:dyDescent="0.25">
      <c r="A45" s="1" t="s">
        <v>242</v>
      </c>
      <c r="B45" s="2" t="s">
        <v>243</v>
      </c>
      <c r="C45" s="287" t="s">
        <v>244</v>
      </c>
      <c r="D45" s="284"/>
      <c r="E45" s="2" t="s">
        <v>191</v>
      </c>
      <c r="F45" s="37">
        <v>4</v>
      </c>
      <c r="G45" s="66">
        <v>0</v>
      </c>
      <c r="H45" s="37">
        <f t="shared" si="22"/>
        <v>0</v>
      </c>
      <c r="I45" s="37">
        <f t="shared" si="23"/>
        <v>0</v>
      </c>
      <c r="J45" s="37">
        <f t="shared" si="24"/>
        <v>0</v>
      </c>
      <c r="K45" s="67" t="s">
        <v>151</v>
      </c>
      <c r="Z45" s="37">
        <f t="shared" si="25"/>
        <v>0</v>
      </c>
      <c r="AB45" s="37">
        <f t="shared" si="26"/>
        <v>0</v>
      </c>
      <c r="AC45" s="37">
        <f t="shared" si="27"/>
        <v>0</v>
      </c>
      <c r="AD45" s="37">
        <f t="shared" si="28"/>
        <v>0</v>
      </c>
      <c r="AE45" s="37">
        <f t="shared" si="29"/>
        <v>0</v>
      </c>
      <c r="AF45" s="37">
        <f t="shared" si="30"/>
        <v>0</v>
      </c>
      <c r="AG45" s="37">
        <f t="shared" si="31"/>
        <v>0</v>
      </c>
      <c r="AH45" s="37">
        <f t="shared" si="32"/>
        <v>0</v>
      </c>
      <c r="AI45" s="49" t="s">
        <v>82</v>
      </c>
      <c r="AJ45" s="37">
        <f t="shared" si="33"/>
        <v>0</v>
      </c>
      <c r="AK45" s="37">
        <f t="shared" si="34"/>
        <v>0</v>
      </c>
      <c r="AL45" s="37">
        <f t="shared" si="35"/>
        <v>0</v>
      </c>
      <c r="AN45" s="37">
        <v>21</v>
      </c>
      <c r="AO45" s="37">
        <f>G45*0.859721692</f>
        <v>0</v>
      </c>
      <c r="AP45" s="37">
        <f>G45*(1-0.859721692)</f>
        <v>0</v>
      </c>
      <c r="AQ45" s="68" t="s">
        <v>174</v>
      </c>
      <c r="AV45" s="37">
        <f t="shared" si="36"/>
        <v>0</v>
      </c>
      <c r="AW45" s="37">
        <f t="shared" si="37"/>
        <v>0</v>
      </c>
      <c r="AX45" s="37">
        <f t="shared" si="38"/>
        <v>0</v>
      </c>
      <c r="AY45" s="68" t="s">
        <v>232</v>
      </c>
      <c r="AZ45" s="68" t="s">
        <v>193</v>
      </c>
      <c r="BA45" s="49" t="s">
        <v>154</v>
      </c>
      <c r="BC45" s="37">
        <f t="shared" si="39"/>
        <v>0</v>
      </c>
      <c r="BD45" s="37">
        <f t="shared" si="40"/>
        <v>0</v>
      </c>
      <c r="BE45" s="37">
        <v>0</v>
      </c>
      <c r="BF45" s="37">
        <f>45</f>
        <v>45</v>
      </c>
      <c r="BH45" s="37">
        <f t="shared" si="41"/>
        <v>0</v>
      </c>
      <c r="BI45" s="37">
        <f t="shared" si="42"/>
        <v>0</v>
      </c>
      <c r="BJ45" s="37">
        <f t="shared" si="43"/>
        <v>0</v>
      </c>
      <c r="BK45" s="37"/>
      <c r="BL45" s="37">
        <v>734</v>
      </c>
      <c r="BW45" s="37">
        <v>21</v>
      </c>
      <c r="BX45" s="3" t="s">
        <v>244</v>
      </c>
    </row>
    <row r="46" spans="1:76" x14ac:dyDescent="0.25">
      <c r="A46" s="1" t="s">
        <v>245</v>
      </c>
      <c r="B46" s="2" t="s">
        <v>246</v>
      </c>
      <c r="C46" s="287" t="s">
        <v>247</v>
      </c>
      <c r="D46" s="284"/>
      <c r="E46" s="2" t="s">
        <v>191</v>
      </c>
      <c r="F46" s="37">
        <v>4</v>
      </c>
      <c r="G46" s="66">
        <v>0</v>
      </c>
      <c r="H46" s="37">
        <f t="shared" si="22"/>
        <v>0</v>
      </c>
      <c r="I46" s="37">
        <f t="shared" si="23"/>
        <v>0</v>
      </c>
      <c r="J46" s="37">
        <f t="shared" si="24"/>
        <v>0</v>
      </c>
      <c r="K46" s="67" t="s">
        <v>151</v>
      </c>
      <c r="Z46" s="37">
        <f t="shared" si="25"/>
        <v>0</v>
      </c>
      <c r="AB46" s="37">
        <f t="shared" si="26"/>
        <v>0</v>
      </c>
      <c r="AC46" s="37">
        <f t="shared" si="27"/>
        <v>0</v>
      </c>
      <c r="AD46" s="37">
        <f t="shared" si="28"/>
        <v>0</v>
      </c>
      <c r="AE46" s="37">
        <f t="shared" si="29"/>
        <v>0</v>
      </c>
      <c r="AF46" s="37">
        <f t="shared" si="30"/>
        <v>0</v>
      </c>
      <c r="AG46" s="37">
        <f t="shared" si="31"/>
        <v>0</v>
      </c>
      <c r="AH46" s="37">
        <f t="shared" si="32"/>
        <v>0</v>
      </c>
      <c r="AI46" s="49" t="s">
        <v>82</v>
      </c>
      <c r="AJ46" s="37">
        <f t="shared" si="33"/>
        <v>0</v>
      </c>
      <c r="AK46" s="37">
        <f t="shared" si="34"/>
        <v>0</v>
      </c>
      <c r="AL46" s="37">
        <f t="shared" si="35"/>
        <v>0</v>
      </c>
      <c r="AN46" s="37">
        <v>21</v>
      </c>
      <c r="AO46" s="37">
        <f>G46*0.843947431</f>
        <v>0</v>
      </c>
      <c r="AP46" s="37">
        <f>G46*(1-0.843947431)</f>
        <v>0</v>
      </c>
      <c r="AQ46" s="68" t="s">
        <v>174</v>
      </c>
      <c r="AV46" s="37">
        <f t="shared" si="36"/>
        <v>0</v>
      </c>
      <c r="AW46" s="37">
        <f t="shared" si="37"/>
        <v>0</v>
      </c>
      <c r="AX46" s="37">
        <f t="shared" si="38"/>
        <v>0</v>
      </c>
      <c r="AY46" s="68" t="s">
        <v>232</v>
      </c>
      <c r="AZ46" s="68" t="s">
        <v>193</v>
      </c>
      <c r="BA46" s="49" t="s">
        <v>154</v>
      </c>
      <c r="BC46" s="37">
        <f t="shared" si="39"/>
        <v>0</v>
      </c>
      <c r="BD46" s="37">
        <f t="shared" si="40"/>
        <v>0</v>
      </c>
      <c r="BE46" s="37">
        <v>0</v>
      </c>
      <c r="BF46" s="37">
        <f>46</f>
        <v>46</v>
      </c>
      <c r="BH46" s="37">
        <f t="shared" si="41"/>
        <v>0</v>
      </c>
      <c r="BI46" s="37">
        <f t="shared" si="42"/>
        <v>0</v>
      </c>
      <c r="BJ46" s="37">
        <f t="shared" si="43"/>
        <v>0</v>
      </c>
      <c r="BK46" s="37"/>
      <c r="BL46" s="37">
        <v>734</v>
      </c>
      <c r="BW46" s="37">
        <v>21</v>
      </c>
      <c r="BX46" s="3" t="s">
        <v>247</v>
      </c>
    </row>
    <row r="47" spans="1:76" x14ac:dyDescent="0.25">
      <c r="A47" s="1" t="s">
        <v>248</v>
      </c>
      <c r="B47" s="2" t="s">
        <v>249</v>
      </c>
      <c r="C47" s="287" t="s">
        <v>250</v>
      </c>
      <c r="D47" s="284"/>
      <c r="E47" s="2" t="s">
        <v>191</v>
      </c>
      <c r="F47" s="37">
        <v>8</v>
      </c>
      <c r="G47" s="66">
        <v>0</v>
      </c>
      <c r="H47" s="37">
        <f t="shared" si="22"/>
        <v>0</v>
      </c>
      <c r="I47" s="37">
        <f t="shared" si="23"/>
        <v>0</v>
      </c>
      <c r="J47" s="37">
        <f t="shared" si="24"/>
        <v>0</v>
      </c>
      <c r="K47" s="67" t="s">
        <v>151</v>
      </c>
      <c r="Z47" s="37">
        <f t="shared" si="25"/>
        <v>0</v>
      </c>
      <c r="AB47" s="37">
        <f t="shared" si="26"/>
        <v>0</v>
      </c>
      <c r="AC47" s="37">
        <f t="shared" si="27"/>
        <v>0</v>
      </c>
      <c r="AD47" s="37">
        <f t="shared" si="28"/>
        <v>0</v>
      </c>
      <c r="AE47" s="37">
        <f t="shared" si="29"/>
        <v>0</v>
      </c>
      <c r="AF47" s="37">
        <f t="shared" si="30"/>
        <v>0</v>
      </c>
      <c r="AG47" s="37">
        <f t="shared" si="31"/>
        <v>0</v>
      </c>
      <c r="AH47" s="37">
        <f t="shared" si="32"/>
        <v>0</v>
      </c>
      <c r="AI47" s="49" t="s">
        <v>82</v>
      </c>
      <c r="AJ47" s="37">
        <f t="shared" si="33"/>
        <v>0</v>
      </c>
      <c r="AK47" s="37">
        <f t="shared" si="34"/>
        <v>0</v>
      </c>
      <c r="AL47" s="37">
        <f t="shared" si="35"/>
        <v>0</v>
      </c>
      <c r="AN47" s="37">
        <v>21</v>
      </c>
      <c r="AO47" s="37">
        <f>G47*0.88050171</f>
        <v>0</v>
      </c>
      <c r="AP47" s="37">
        <f>G47*(1-0.88050171)</f>
        <v>0</v>
      </c>
      <c r="AQ47" s="68" t="s">
        <v>174</v>
      </c>
      <c r="AV47" s="37">
        <f t="shared" si="36"/>
        <v>0</v>
      </c>
      <c r="AW47" s="37">
        <f t="shared" si="37"/>
        <v>0</v>
      </c>
      <c r="AX47" s="37">
        <f t="shared" si="38"/>
        <v>0</v>
      </c>
      <c r="AY47" s="68" t="s">
        <v>232</v>
      </c>
      <c r="AZ47" s="68" t="s">
        <v>193</v>
      </c>
      <c r="BA47" s="49" t="s">
        <v>154</v>
      </c>
      <c r="BC47" s="37">
        <f t="shared" si="39"/>
        <v>0</v>
      </c>
      <c r="BD47" s="37">
        <f t="shared" si="40"/>
        <v>0</v>
      </c>
      <c r="BE47" s="37">
        <v>0</v>
      </c>
      <c r="BF47" s="37">
        <f>47</f>
        <v>47</v>
      </c>
      <c r="BH47" s="37">
        <f t="shared" si="41"/>
        <v>0</v>
      </c>
      <c r="BI47" s="37">
        <f t="shared" si="42"/>
        <v>0</v>
      </c>
      <c r="BJ47" s="37">
        <f t="shared" si="43"/>
        <v>0</v>
      </c>
      <c r="BK47" s="37"/>
      <c r="BL47" s="37">
        <v>734</v>
      </c>
      <c r="BW47" s="37">
        <v>21</v>
      </c>
      <c r="BX47" s="3" t="s">
        <v>250</v>
      </c>
    </row>
    <row r="48" spans="1:76" x14ac:dyDescent="0.25">
      <c r="A48" s="1" t="s">
        <v>251</v>
      </c>
      <c r="B48" s="2" t="s">
        <v>252</v>
      </c>
      <c r="C48" s="287" t="s">
        <v>253</v>
      </c>
      <c r="D48" s="284"/>
      <c r="E48" s="2" t="s">
        <v>191</v>
      </c>
      <c r="F48" s="37">
        <v>2</v>
      </c>
      <c r="G48" s="66">
        <v>0</v>
      </c>
      <c r="H48" s="37">
        <f t="shared" si="22"/>
        <v>0</v>
      </c>
      <c r="I48" s="37">
        <f t="shared" si="23"/>
        <v>0</v>
      </c>
      <c r="J48" s="37">
        <f t="shared" si="24"/>
        <v>0</v>
      </c>
      <c r="K48" s="67" t="s">
        <v>151</v>
      </c>
      <c r="Z48" s="37">
        <f t="shared" si="25"/>
        <v>0</v>
      </c>
      <c r="AB48" s="37">
        <f t="shared" si="26"/>
        <v>0</v>
      </c>
      <c r="AC48" s="37">
        <f t="shared" si="27"/>
        <v>0</v>
      </c>
      <c r="AD48" s="37">
        <f t="shared" si="28"/>
        <v>0</v>
      </c>
      <c r="AE48" s="37">
        <f t="shared" si="29"/>
        <v>0</v>
      </c>
      <c r="AF48" s="37">
        <f t="shared" si="30"/>
        <v>0</v>
      </c>
      <c r="AG48" s="37">
        <f t="shared" si="31"/>
        <v>0</v>
      </c>
      <c r="AH48" s="37">
        <f t="shared" si="32"/>
        <v>0</v>
      </c>
      <c r="AI48" s="49" t="s">
        <v>82</v>
      </c>
      <c r="AJ48" s="37">
        <f t="shared" si="33"/>
        <v>0</v>
      </c>
      <c r="AK48" s="37">
        <f t="shared" si="34"/>
        <v>0</v>
      </c>
      <c r="AL48" s="37">
        <f t="shared" si="35"/>
        <v>0</v>
      </c>
      <c r="AN48" s="37">
        <v>21</v>
      </c>
      <c r="AO48" s="37">
        <f>G48*0.35</f>
        <v>0</v>
      </c>
      <c r="AP48" s="37">
        <f>G48*(1-0.35)</f>
        <v>0</v>
      </c>
      <c r="AQ48" s="68" t="s">
        <v>174</v>
      </c>
      <c r="AV48" s="37">
        <f t="shared" si="36"/>
        <v>0</v>
      </c>
      <c r="AW48" s="37">
        <f t="shared" si="37"/>
        <v>0</v>
      </c>
      <c r="AX48" s="37">
        <f t="shared" si="38"/>
        <v>0</v>
      </c>
      <c r="AY48" s="68" t="s">
        <v>232</v>
      </c>
      <c r="AZ48" s="68" t="s">
        <v>193</v>
      </c>
      <c r="BA48" s="49" t="s">
        <v>154</v>
      </c>
      <c r="BC48" s="37">
        <f t="shared" si="39"/>
        <v>0</v>
      </c>
      <c r="BD48" s="37">
        <f t="shared" si="40"/>
        <v>0</v>
      </c>
      <c r="BE48" s="37">
        <v>0</v>
      </c>
      <c r="BF48" s="37">
        <f>48</f>
        <v>48</v>
      </c>
      <c r="BH48" s="37">
        <f t="shared" si="41"/>
        <v>0</v>
      </c>
      <c r="BI48" s="37">
        <f t="shared" si="42"/>
        <v>0</v>
      </c>
      <c r="BJ48" s="37">
        <f t="shared" si="43"/>
        <v>0</v>
      </c>
      <c r="BK48" s="37"/>
      <c r="BL48" s="37">
        <v>734</v>
      </c>
      <c r="BW48" s="37">
        <v>21</v>
      </c>
      <c r="BX48" s="3" t="s">
        <v>253</v>
      </c>
    </row>
    <row r="49" spans="1:76" x14ac:dyDescent="0.25">
      <c r="A49" s="1" t="s">
        <v>254</v>
      </c>
      <c r="B49" s="2" t="s">
        <v>255</v>
      </c>
      <c r="C49" s="287" t="s">
        <v>256</v>
      </c>
      <c r="D49" s="284"/>
      <c r="E49" s="2" t="s">
        <v>191</v>
      </c>
      <c r="F49" s="37">
        <v>10</v>
      </c>
      <c r="G49" s="66">
        <v>0</v>
      </c>
      <c r="H49" s="37">
        <f t="shared" si="22"/>
        <v>0</v>
      </c>
      <c r="I49" s="37">
        <f t="shared" si="23"/>
        <v>0</v>
      </c>
      <c r="J49" s="37">
        <f t="shared" si="24"/>
        <v>0</v>
      </c>
      <c r="K49" s="67" t="s">
        <v>151</v>
      </c>
      <c r="Z49" s="37">
        <f t="shared" si="25"/>
        <v>0</v>
      </c>
      <c r="AB49" s="37">
        <f t="shared" si="26"/>
        <v>0</v>
      </c>
      <c r="AC49" s="37">
        <f t="shared" si="27"/>
        <v>0</v>
      </c>
      <c r="AD49" s="37">
        <f t="shared" si="28"/>
        <v>0</v>
      </c>
      <c r="AE49" s="37">
        <f t="shared" si="29"/>
        <v>0</v>
      </c>
      <c r="AF49" s="37">
        <f t="shared" si="30"/>
        <v>0</v>
      </c>
      <c r="AG49" s="37">
        <f t="shared" si="31"/>
        <v>0</v>
      </c>
      <c r="AH49" s="37">
        <f t="shared" si="32"/>
        <v>0</v>
      </c>
      <c r="AI49" s="49" t="s">
        <v>82</v>
      </c>
      <c r="AJ49" s="37">
        <f t="shared" si="33"/>
        <v>0</v>
      </c>
      <c r="AK49" s="37">
        <f t="shared" si="34"/>
        <v>0</v>
      </c>
      <c r="AL49" s="37">
        <f t="shared" si="35"/>
        <v>0</v>
      </c>
      <c r="AN49" s="37">
        <v>21</v>
      </c>
      <c r="AO49" s="37">
        <f>G49*0.915057592</f>
        <v>0</v>
      </c>
      <c r="AP49" s="37">
        <f>G49*(1-0.915057592)</f>
        <v>0</v>
      </c>
      <c r="AQ49" s="68" t="s">
        <v>174</v>
      </c>
      <c r="AV49" s="37">
        <f t="shared" si="36"/>
        <v>0</v>
      </c>
      <c r="AW49" s="37">
        <f t="shared" si="37"/>
        <v>0</v>
      </c>
      <c r="AX49" s="37">
        <f t="shared" si="38"/>
        <v>0</v>
      </c>
      <c r="AY49" s="68" t="s">
        <v>232</v>
      </c>
      <c r="AZ49" s="68" t="s">
        <v>193</v>
      </c>
      <c r="BA49" s="49" t="s">
        <v>154</v>
      </c>
      <c r="BC49" s="37">
        <f t="shared" si="39"/>
        <v>0</v>
      </c>
      <c r="BD49" s="37">
        <f t="shared" si="40"/>
        <v>0</v>
      </c>
      <c r="BE49" s="37">
        <v>0</v>
      </c>
      <c r="BF49" s="37">
        <f>49</f>
        <v>49</v>
      </c>
      <c r="BH49" s="37">
        <f t="shared" si="41"/>
        <v>0</v>
      </c>
      <c r="BI49" s="37">
        <f t="shared" si="42"/>
        <v>0</v>
      </c>
      <c r="BJ49" s="37">
        <f t="shared" si="43"/>
        <v>0</v>
      </c>
      <c r="BK49" s="37"/>
      <c r="BL49" s="37">
        <v>734</v>
      </c>
      <c r="BW49" s="37">
        <v>21</v>
      </c>
      <c r="BX49" s="3" t="s">
        <v>256</v>
      </c>
    </row>
    <row r="50" spans="1:76" x14ac:dyDescent="0.25">
      <c r="A50" s="1" t="s">
        <v>257</v>
      </c>
      <c r="B50" s="2" t="s">
        <v>258</v>
      </c>
      <c r="C50" s="287" t="s">
        <v>259</v>
      </c>
      <c r="D50" s="284"/>
      <c r="E50" s="2" t="s">
        <v>191</v>
      </c>
      <c r="F50" s="37">
        <v>6</v>
      </c>
      <c r="G50" s="66">
        <v>0</v>
      </c>
      <c r="H50" s="37">
        <f t="shared" si="22"/>
        <v>0</v>
      </c>
      <c r="I50" s="37">
        <f t="shared" si="23"/>
        <v>0</v>
      </c>
      <c r="J50" s="37">
        <f t="shared" si="24"/>
        <v>0</v>
      </c>
      <c r="K50" s="67" t="s">
        <v>151</v>
      </c>
      <c r="Z50" s="37">
        <f t="shared" si="25"/>
        <v>0</v>
      </c>
      <c r="AB50" s="37">
        <f t="shared" si="26"/>
        <v>0</v>
      </c>
      <c r="AC50" s="37">
        <f t="shared" si="27"/>
        <v>0</v>
      </c>
      <c r="AD50" s="37">
        <f t="shared" si="28"/>
        <v>0</v>
      </c>
      <c r="AE50" s="37">
        <f t="shared" si="29"/>
        <v>0</v>
      </c>
      <c r="AF50" s="37">
        <f t="shared" si="30"/>
        <v>0</v>
      </c>
      <c r="AG50" s="37">
        <f t="shared" si="31"/>
        <v>0</v>
      </c>
      <c r="AH50" s="37">
        <f t="shared" si="32"/>
        <v>0</v>
      </c>
      <c r="AI50" s="49" t="s">
        <v>82</v>
      </c>
      <c r="AJ50" s="37">
        <f t="shared" si="33"/>
        <v>0</v>
      </c>
      <c r="AK50" s="37">
        <f t="shared" si="34"/>
        <v>0</v>
      </c>
      <c r="AL50" s="37">
        <f t="shared" si="35"/>
        <v>0</v>
      </c>
      <c r="AN50" s="37">
        <v>21</v>
      </c>
      <c r="AO50" s="37">
        <f>G50*0.923230769</f>
        <v>0</v>
      </c>
      <c r="AP50" s="37">
        <f>G50*(1-0.923230769)</f>
        <v>0</v>
      </c>
      <c r="AQ50" s="68" t="s">
        <v>174</v>
      </c>
      <c r="AV50" s="37">
        <f t="shared" si="36"/>
        <v>0</v>
      </c>
      <c r="AW50" s="37">
        <f t="shared" si="37"/>
        <v>0</v>
      </c>
      <c r="AX50" s="37">
        <f t="shared" si="38"/>
        <v>0</v>
      </c>
      <c r="AY50" s="68" t="s">
        <v>232</v>
      </c>
      <c r="AZ50" s="68" t="s">
        <v>193</v>
      </c>
      <c r="BA50" s="49" t="s">
        <v>154</v>
      </c>
      <c r="BC50" s="37">
        <f t="shared" si="39"/>
        <v>0</v>
      </c>
      <c r="BD50" s="37">
        <f t="shared" si="40"/>
        <v>0</v>
      </c>
      <c r="BE50" s="37">
        <v>0</v>
      </c>
      <c r="BF50" s="37">
        <f>50</f>
        <v>50</v>
      </c>
      <c r="BH50" s="37">
        <f t="shared" si="41"/>
        <v>0</v>
      </c>
      <c r="BI50" s="37">
        <f t="shared" si="42"/>
        <v>0</v>
      </c>
      <c r="BJ50" s="37">
        <f t="shared" si="43"/>
        <v>0</v>
      </c>
      <c r="BK50" s="37"/>
      <c r="BL50" s="37">
        <v>734</v>
      </c>
      <c r="BW50" s="37">
        <v>21</v>
      </c>
      <c r="BX50" s="3" t="s">
        <v>259</v>
      </c>
    </row>
    <row r="51" spans="1:76" x14ac:dyDescent="0.25">
      <c r="A51" s="1" t="s">
        <v>260</v>
      </c>
      <c r="B51" s="2" t="s">
        <v>261</v>
      </c>
      <c r="C51" s="287" t="s">
        <v>262</v>
      </c>
      <c r="D51" s="284"/>
      <c r="E51" s="2" t="s">
        <v>191</v>
      </c>
      <c r="F51" s="37">
        <v>12</v>
      </c>
      <c r="G51" s="66">
        <v>0</v>
      </c>
      <c r="H51" s="37">
        <f t="shared" si="22"/>
        <v>0</v>
      </c>
      <c r="I51" s="37">
        <f t="shared" si="23"/>
        <v>0</v>
      </c>
      <c r="J51" s="37">
        <f t="shared" si="24"/>
        <v>0</v>
      </c>
      <c r="K51" s="67" t="s">
        <v>151</v>
      </c>
      <c r="Z51" s="37">
        <f t="shared" si="25"/>
        <v>0</v>
      </c>
      <c r="AB51" s="37">
        <f t="shared" si="26"/>
        <v>0</v>
      </c>
      <c r="AC51" s="37">
        <f t="shared" si="27"/>
        <v>0</v>
      </c>
      <c r="AD51" s="37">
        <f t="shared" si="28"/>
        <v>0</v>
      </c>
      <c r="AE51" s="37">
        <f t="shared" si="29"/>
        <v>0</v>
      </c>
      <c r="AF51" s="37">
        <f t="shared" si="30"/>
        <v>0</v>
      </c>
      <c r="AG51" s="37">
        <f t="shared" si="31"/>
        <v>0</v>
      </c>
      <c r="AH51" s="37">
        <f t="shared" si="32"/>
        <v>0</v>
      </c>
      <c r="AI51" s="49" t="s">
        <v>82</v>
      </c>
      <c r="AJ51" s="37">
        <f t="shared" si="33"/>
        <v>0</v>
      </c>
      <c r="AK51" s="37">
        <f t="shared" si="34"/>
        <v>0</v>
      </c>
      <c r="AL51" s="37">
        <f t="shared" si="35"/>
        <v>0</v>
      </c>
      <c r="AN51" s="37">
        <v>21</v>
      </c>
      <c r="AO51" s="37">
        <f>G51*0.888934817</f>
        <v>0</v>
      </c>
      <c r="AP51" s="37">
        <f>G51*(1-0.888934817)</f>
        <v>0</v>
      </c>
      <c r="AQ51" s="68" t="s">
        <v>174</v>
      </c>
      <c r="AV51" s="37">
        <f t="shared" si="36"/>
        <v>0</v>
      </c>
      <c r="AW51" s="37">
        <f t="shared" si="37"/>
        <v>0</v>
      </c>
      <c r="AX51" s="37">
        <f t="shared" si="38"/>
        <v>0</v>
      </c>
      <c r="AY51" s="68" t="s">
        <v>232</v>
      </c>
      <c r="AZ51" s="68" t="s">
        <v>193</v>
      </c>
      <c r="BA51" s="49" t="s">
        <v>154</v>
      </c>
      <c r="BC51" s="37">
        <f t="shared" si="39"/>
        <v>0</v>
      </c>
      <c r="BD51" s="37">
        <f t="shared" si="40"/>
        <v>0</v>
      </c>
      <c r="BE51" s="37">
        <v>0</v>
      </c>
      <c r="BF51" s="37">
        <f>51</f>
        <v>51</v>
      </c>
      <c r="BH51" s="37">
        <f t="shared" si="41"/>
        <v>0</v>
      </c>
      <c r="BI51" s="37">
        <f t="shared" si="42"/>
        <v>0</v>
      </c>
      <c r="BJ51" s="37">
        <f t="shared" si="43"/>
        <v>0</v>
      </c>
      <c r="BK51" s="37"/>
      <c r="BL51" s="37">
        <v>734</v>
      </c>
      <c r="BW51" s="37">
        <v>21</v>
      </c>
      <c r="BX51" s="3" t="s">
        <v>262</v>
      </c>
    </row>
    <row r="52" spans="1:76" x14ac:dyDescent="0.25">
      <c r="A52" s="1" t="s">
        <v>83</v>
      </c>
      <c r="B52" s="2" t="s">
        <v>263</v>
      </c>
      <c r="C52" s="287" t="s">
        <v>264</v>
      </c>
      <c r="D52" s="284"/>
      <c r="E52" s="2" t="s">
        <v>191</v>
      </c>
      <c r="F52" s="37">
        <v>6</v>
      </c>
      <c r="G52" s="66">
        <v>0</v>
      </c>
      <c r="H52" s="37">
        <f t="shared" si="22"/>
        <v>0</v>
      </c>
      <c r="I52" s="37">
        <f t="shared" si="23"/>
        <v>0</v>
      </c>
      <c r="J52" s="37">
        <f t="shared" si="24"/>
        <v>0</v>
      </c>
      <c r="K52" s="67" t="s">
        <v>151</v>
      </c>
      <c r="Z52" s="37">
        <f t="shared" si="25"/>
        <v>0</v>
      </c>
      <c r="AB52" s="37">
        <f t="shared" si="26"/>
        <v>0</v>
      </c>
      <c r="AC52" s="37">
        <f t="shared" si="27"/>
        <v>0</v>
      </c>
      <c r="AD52" s="37">
        <f t="shared" si="28"/>
        <v>0</v>
      </c>
      <c r="AE52" s="37">
        <f t="shared" si="29"/>
        <v>0</v>
      </c>
      <c r="AF52" s="37">
        <f t="shared" si="30"/>
        <v>0</v>
      </c>
      <c r="AG52" s="37">
        <f t="shared" si="31"/>
        <v>0</v>
      </c>
      <c r="AH52" s="37">
        <f t="shared" si="32"/>
        <v>0</v>
      </c>
      <c r="AI52" s="49" t="s">
        <v>82</v>
      </c>
      <c r="AJ52" s="37">
        <f t="shared" si="33"/>
        <v>0</v>
      </c>
      <c r="AK52" s="37">
        <f t="shared" si="34"/>
        <v>0</v>
      </c>
      <c r="AL52" s="37">
        <f t="shared" si="35"/>
        <v>0</v>
      </c>
      <c r="AN52" s="37">
        <v>21</v>
      </c>
      <c r="AO52" s="37">
        <f>G52*0.854541336</f>
        <v>0</v>
      </c>
      <c r="AP52" s="37">
        <f>G52*(1-0.854541336)</f>
        <v>0</v>
      </c>
      <c r="AQ52" s="68" t="s">
        <v>174</v>
      </c>
      <c r="AV52" s="37">
        <f t="shared" si="36"/>
        <v>0</v>
      </c>
      <c r="AW52" s="37">
        <f t="shared" si="37"/>
        <v>0</v>
      </c>
      <c r="AX52" s="37">
        <f t="shared" si="38"/>
        <v>0</v>
      </c>
      <c r="AY52" s="68" t="s">
        <v>232</v>
      </c>
      <c r="AZ52" s="68" t="s">
        <v>193</v>
      </c>
      <c r="BA52" s="49" t="s">
        <v>154</v>
      </c>
      <c r="BC52" s="37">
        <f t="shared" si="39"/>
        <v>0</v>
      </c>
      <c r="BD52" s="37">
        <f t="shared" si="40"/>
        <v>0</v>
      </c>
      <c r="BE52" s="37">
        <v>0</v>
      </c>
      <c r="BF52" s="37">
        <f>52</f>
        <v>52</v>
      </c>
      <c r="BH52" s="37">
        <f t="shared" si="41"/>
        <v>0</v>
      </c>
      <c r="BI52" s="37">
        <f t="shared" si="42"/>
        <v>0</v>
      </c>
      <c r="BJ52" s="37">
        <f t="shared" si="43"/>
        <v>0</v>
      </c>
      <c r="BK52" s="37"/>
      <c r="BL52" s="37">
        <v>734</v>
      </c>
      <c r="BW52" s="37">
        <v>21</v>
      </c>
      <c r="BX52" s="3" t="s">
        <v>264</v>
      </c>
    </row>
    <row r="53" spans="1:76" x14ac:dyDescent="0.25">
      <c r="A53" s="1" t="s">
        <v>265</v>
      </c>
      <c r="B53" s="2" t="s">
        <v>266</v>
      </c>
      <c r="C53" s="287" t="s">
        <v>267</v>
      </c>
      <c r="D53" s="284"/>
      <c r="E53" s="2" t="s">
        <v>191</v>
      </c>
      <c r="F53" s="37">
        <v>6</v>
      </c>
      <c r="G53" s="66">
        <v>0</v>
      </c>
      <c r="H53" s="37">
        <f t="shared" si="22"/>
        <v>0</v>
      </c>
      <c r="I53" s="37">
        <f t="shared" si="23"/>
        <v>0</v>
      </c>
      <c r="J53" s="37">
        <f t="shared" si="24"/>
        <v>0</v>
      </c>
      <c r="K53" s="67" t="s">
        <v>151</v>
      </c>
      <c r="Z53" s="37">
        <f t="shared" si="25"/>
        <v>0</v>
      </c>
      <c r="AB53" s="37">
        <f t="shared" si="26"/>
        <v>0</v>
      </c>
      <c r="AC53" s="37">
        <f t="shared" si="27"/>
        <v>0</v>
      </c>
      <c r="AD53" s="37">
        <f t="shared" si="28"/>
        <v>0</v>
      </c>
      <c r="AE53" s="37">
        <f t="shared" si="29"/>
        <v>0</v>
      </c>
      <c r="AF53" s="37">
        <f t="shared" si="30"/>
        <v>0</v>
      </c>
      <c r="AG53" s="37">
        <f t="shared" si="31"/>
        <v>0</v>
      </c>
      <c r="AH53" s="37">
        <f t="shared" si="32"/>
        <v>0</v>
      </c>
      <c r="AI53" s="49" t="s">
        <v>82</v>
      </c>
      <c r="AJ53" s="37">
        <f t="shared" si="33"/>
        <v>0</v>
      </c>
      <c r="AK53" s="37">
        <f t="shared" si="34"/>
        <v>0</v>
      </c>
      <c r="AL53" s="37">
        <f t="shared" si="35"/>
        <v>0</v>
      </c>
      <c r="AN53" s="37">
        <v>21</v>
      </c>
      <c r="AO53" s="37">
        <f>G53*0.856779687</f>
        <v>0</v>
      </c>
      <c r="AP53" s="37">
        <f>G53*(1-0.856779687)</f>
        <v>0</v>
      </c>
      <c r="AQ53" s="68" t="s">
        <v>174</v>
      </c>
      <c r="AV53" s="37">
        <f t="shared" si="36"/>
        <v>0</v>
      </c>
      <c r="AW53" s="37">
        <f t="shared" si="37"/>
        <v>0</v>
      </c>
      <c r="AX53" s="37">
        <f t="shared" si="38"/>
        <v>0</v>
      </c>
      <c r="AY53" s="68" t="s">
        <v>232</v>
      </c>
      <c r="AZ53" s="68" t="s">
        <v>193</v>
      </c>
      <c r="BA53" s="49" t="s">
        <v>154</v>
      </c>
      <c r="BC53" s="37">
        <f t="shared" si="39"/>
        <v>0</v>
      </c>
      <c r="BD53" s="37">
        <f t="shared" si="40"/>
        <v>0</v>
      </c>
      <c r="BE53" s="37">
        <v>0</v>
      </c>
      <c r="BF53" s="37">
        <f>53</f>
        <v>53</v>
      </c>
      <c r="BH53" s="37">
        <f t="shared" si="41"/>
        <v>0</v>
      </c>
      <c r="BI53" s="37">
        <f t="shared" si="42"/>
        <v>0</v>
      </c>
      <c r="BJ53" s="37">
        <f t="shared" si="43"/>
        <v>0</v>
      </c>
      <c r="BK53" s="37"/>
      <c r="BL53" s="37">
        <v>734</v>
      </c>
      <c r="BW53" s="37">
        <v>21</v>
      </c>
      <c r="BX53" s="3" t="s">
        <v>267</v>
      </c>
    </row>
    <row r="54" spans="1:76" x14ac:dyDescent="0.25">
      <c r="A54" s="1" t="s">
        <v>268</v>
      </c>
      <c r="B54" s="2" t="s">
        <v>269</v>
      </c>
      <c r="C54" s="287" t="s">
        <v>270</v>
      </c>
      <c r="D54" s="284"/>
      <c r="E54" s="2" t="s">
        <v>62</v>
      </c>
      <c r="F54" s="37">
        <v>650.00894000000005</v>
      </c>
      <c r="G54" s="66">
        <v>0</v>
      </c>
      <c r="H54" s="37">
        <f t="shared" si="22"/>
        <v>0</v>
      </c>
      <c r="I54" s="37">
        <f t="shared" si="23"/>
        <v>0</v>
      </c>
      <c r="J54" s="37">
        <f t="shared" si="24"/>
        <v>0</v>
      </c>
      <c r="K54" s="67" t="s">
        <v>151</v>
      </c>
      <c r="Z54" s="37">
        <f t="shared" si="25"/>
        <v>0</v>
      </c>
      <c r="AB54" s="37">
        <f t="shared" si="26"/>
        <v>0</v>
      </c>
      <c r="AC54" s="37">
        <f t="shared" si="27"/>
        <v>0</v>
      </c>
      <c r="AD54" s="37">
        <f t="shared" si="28"/>
        <v>0</v>
      </c>
      <c r="AE54" s="37">
        <f t="shared" si="29"/>
        <v>0</v>
      </c>
      <c r="AF54" s="37">
        <f t="shared" si="30"/>
        <v>0</v>
      </c>
      <c r="AG54" s="37">
        <f t="shared" si="31"/>
        <v>0</v>
      </c>
      <c r="AH54" s="37">
        <f t="shared" si="32"/>
        <v>0</v>
      </c>
      <c r="AI54" s="49" t="s">
        <v>82</v>
      </c>
      <c r="AJ54" s="37">
        <f t="shared" si="33"/>
        <v>0</v>
      </c>
      <c r="AK54" s="37">
        <f t="shared" si="34"/>
        <v>0</v>
      </c>
      <c r="AL54" s="37">
        <f t="shared" si="35"/>
        <v>0</v>
      </c>
      <c r="AN54" s="37">
        <v>21</v>
      </c>
      <c r="AO54" s="37">
        <f>G54*0</f>
        <v>0</v>
      </c>
      <c r="AP54" s="37">
        <f>G54*(1-0)</f>
        <v>0</v>
      </c>
      <c r="AQ54" s="68" t="s">
        <v>166</v>
      </c>
      <c r="AV54" s="37">
        <f t="shared" si="36"/>
        <v>0</v>
      </c>
      <c r="AW54" s="37">
        <f t="shared" si="37"/>
        <v>0</v>
      </c>
      <c r="AX54" s="37">
        <f t="shared" si="38"/>
        <v>0</v>
      </c>
      <c r="AY54" s="68" t="s">
        <v>232</v>
      </c>
      <c r="AZ54" s="68" t="s">
        <v>193</v>
      </c>
      <c r="BA54" s="49" t="s">
        <v>154</v>
      </c>
      <c r="BC54" s="37">
        <f t="shared" si="39"/>
        <v>0</v>
      </c>
      <c r="BD54" s="37">
        <f t="shared" si="40"/>
        <v>0</v>
      </c>
      <c r="BE54" s="37">
        <v>0</v>
      </c>
      <c r="BF54" s="37">
        <f>54</f>
        <v>54</v>
      </c>
      <c r="BH54" s="37">
        <f t="shared" si="41"/>
        <v>0</v>
      </c>
      <c r="BI54" s="37">
        <f t="shared" si="42"/>
        <v>0</v>
      </c>
      <c r="BJ54" s="37">
        <f t="shared" si="43"/>
        <v>0</v>
      </c>
      <c r="BK54" s="37"/>
      <c r="BL54" s="37">
        <v>734</v>
      </c>
      <c r="BW54" s="37">
        <v>21</v>
      </c>
      <c r="BX54" s="3" t="s">
        <v>270</v>
      </c>
    </row>
    <row r="55" spans="1:76" x14ac:dyDescent="0.25">
      <c r="A55" s="61" t="s">
        <v>4</v>
      </c>
      <c r="B55" s="62" t="s">
        <v>96</v>
      </c>
      <c r="C55" s="370" t="s">
        <v>97</v>
      </c>
      <c r="D55" s="371"/>
      <c r="E55" s="63" t="s">
        <v>74</v>
      </c>
      <c r="F55" s="63" t="s">
        <v>74</v>
      </c>
      <c r="G55" s="64" t="s">
        <v>74</v>
      </c>
      <c r="H55" s="43">
        <f>SUM(H56:H65)</f>
        <v>0</v>
      </c>
      <c r="I55" s="43">
        <f>SUM(I56:I65)</f>
        <v>0</v>
      </c>
      <c r="J55" s="43">
        <f>SUM(J56:J65)</f>
        <v>0</v>
      </c>
      <c r="K55" s="65" t="s">
        <v>4</v>
      </c>
      <c r="AI55" s="49" t="s">
        <v>82</v>
      </c>
      <c r="AS55" s="43">
        <f>SUM(AJ56:AJ65)</f>
        <v>0</v>
      </c>
      <c r="AT55" s="43">
        <f>SUM(AK56:AK65)</f>
        <v>0</v>
      </c>
      <c r="AU55" s="43">
        <f>SUM(AL56:AL65)</f>
        <v>0</v>
      </c>
    </row>
    <row r="56" spans="1:76" x14ac:dyDescent="0.25">
      <c r="A56" s="1" t="s">
        <v>271</v>
      </c>
      <c r="B56" s="2" t="s">
        <v>272</v>
      </c>
      <c r="C56" s="287" t="s">
        <v>273</v>
      </c>
      <c r="D56" s="284"/>
      <c r="E56" s="2" t="s">
        <v>191</v>
      </c>
      <c r="F56" s="37">
        <v>24</v>
      </c>
      <c r="G56" s="66">
        <v>0</v>
      </c>
      <c r="H56" s="37">
        <f t="shared" ref="H56:H65" si="44">F56*AO56</f>
        <v>0</v>
      </c>
      <c r="I56" s="37">
        <f t="shared" ref="I56:I65" si="45">F56*AP56</f>
        <v>0</v>
      </c>
      <c r="J56" s="37">
        <f t="shared" ref="J56:J65" si="46">F56*G56</f>
        <v>0</v>
      </c>
      <c r="K56" s="67" t="s">
        <v>151</v>
      </c>
      <c r="Z56" s="37">
        <f t="shared" ref="Z56:Z65" si="47">IF(AQ56="5",BJ56,0)</f>
        <v>0</v>
      </c>
      <c r="AB56" s="37">
        <f t="shared" ref="AB56:AB65" si="48">IF(AQ56="1",BH56,0)</f>
        <v>0</v>
      </c>
      <c r="AC56" s="37">
        <f t="shared" ref="AC56:AC65" si="49">IF(AQ56="1",BI56,0)</f>
        <v>0</v>
      </c>
      <c r="AD56" s="37">
        <f t="shared" ref="AD56:AD65" si="50">IF(AQ56="7",BH56,0)</f>
        <v>0</v>
      </c>
      <c r="AE56" s="37">
        <f t="shared" ref="AE56:AE65" si="51">IF(AQ56="7",BI56,0)</f>
        <v>0</v>
      </c>
      <c r="AF56" s="37">
        <f t="shared" ref="AF56:AF65" si="52">IF(AQ56="2",BH56,0)</f>
        <v>0</v>
      </c>
      <c r="AG56" s="37">
        <f t="shared" ref="AG56:AG65" si="53">IF(AQ56="2",BI56,0)</f>
        <v>0</v>
      </c>
      <c r="AH56" s="37">
        <f t="shared" ref="AH56:AH65" si="54">IF(AQ56="0",BJ56,0)</f>
        <v>0</v>
      </c>
      <c r="AI56" s="49" t="s">
        <v>82</v>
      </c>
      <c r="AJ56" s="37">
        <f t="shared" ref="AJ56:AJ65" si="55">IF(AN56=0,J56,0)</f>
        <v>0</v>
      </c>
      <c r="AK56" s="37">
        <f t="shared" ref="AK56:AK65" si="56">IF(AN56=12,J56,0)</f>
        <v>0</v>
      </c>
      <c r="AL56" s="37">
        <f t="shared" ref="AL56:AL65" si="57">IF(AN56=21,J56,0)</f>
        <v>0</v>
      </c>
      <c r="AN56" s="37">
        <v>21</v>
      </c>
      <c r="AO56" s="37">
        <f>G56*0</f>
        <v>0</v>
      </c>
      <c r="AP56" s="37">
        <f>G56*(1-0)</f>
        <v>0</v>
      </c>
      <c r="AQ56" s="68" t="s">
        <v>174</v>
      </c>
      <c r="AV56" s="37">
        <f t="shared" ref="AV56:AV65" si="58">AW56+AX56</f>
        <v>0</v>
      </c>
      <c r="AW56" s="37">
        <f t="shared" ref="AW56:AW65" si="59">F56*AO56</f>
        <v>0</v>
      </c>
      <c r="AX56" s="37">
        <f t="shared" ref="AX56:AX65" si="60">F56*AP56</f>
        <v>0</v>
      </c>
      <c r="AY56" s="68" t="s">
        <v>274</v>
      </c>
      <c r="AZ56" s="68" t="s">
        <v>193</v>
      </c>
      <c r="BA56" s="49" t="s">
        <v>154</v>
      </c>
      <c r="BC56" s="37">
        <f t="shared" ref="BC56:BC65" si="61">AW56+AX56</f>
        <v>0</v>
      </c>
      <c r="BD56" s="37">
        <f t="shared" ref="BD56:BD65" si="62">G56/(100-BE56)*100</f>
        <v>0</v>
      </c>
      <c r="BE56" s="37">
        <v>0</v>
      </c>
      <c r="BF56" s="37">
        <f>56</f>
        <v>56</v>
      </c>
      <c r="BH56" s="37">
        <f t="shared" ref="BH56:BH65" si="63">F56*AO56</f>
        <v>0</v>
      </c>
      <c r="BI56" s="37">
        <f t="shared" ref="BI56:BI65" si="64">F56*AP56</f>
        <v>0</v>
      </c>
      <c r="BJ56" s="37">
        <f t="shared" ref="BJ56:BJ65" si="65">F56*G56</f>
        <v>0</v>
      </c>
      <c r="BK56" s="37"/>
      <c r="BL56" s="37">
        <v>735</v>
      </c>
      <c r="BW56" s="37">
        <v>21</v>
      </c>
      <c r="BX56" s="3" t="s">
        <v>273</v>
      </c>
    </row>
    <row r="57" spans="1:76" x14ac:dyDescent="0.25">
      <c r="A57" s="1" t="s">
        <v>275</v>
      </c>
      <c r="B57" s="2" t="s">
        <v>276</v>
      </c>
      <c r="C57" s="287" t="s">
        <v>277</v>
      </c>
      <c r="D57" s="284"/>
      <c r="E57" s="2" t="s">
        <v>191</v>
      </c>
      <c r="F57" s="37">
        <v>4</v>
      </c>
      <c r="G57" s="66">
        <v>0</v>
      </c>
      <c r="H57" s="37">
        <f t="shared" si="44"/>
        <v>0</v>
      </c>
      <c r="I57" s="37">
        <f t="shared" si="45"/>
        <v>0</v>
      </c>
      <c r="J57" s="37">
        <f t="shared" si="46"/>
        <v>0</v>
      </c>
      <c r="K57" s="67" t="s">
        <v>151</v>
      </c>
      <c r="Z57" s="37">
        <f t="shared" si="47"/>
        <v>0</v>
      </c>
      <c r="AB57" s="37">
        <f t="shared" si="48"/>
        <v>0</v>
      </c>
      <c r="AC57" s="37">
        <f t="shared" si="49"/>
        <v>0</v>
      </c>
      <c r="AD57" s="37">
        <f t="shared" si="50"/>
        <v>0</v>
      </c>
      <c r="AE57" s="37">
        <f t="shared" si="51"/>
        <v>0</v>
      </c>
      <c r="AF57" s="37">
        <f t="shared" si="52"/>
        <v>0</v>
      </c>
      <c r="AG57" s="37">
        <f t="shared" si="53"/>
        <v>0</v>
      </c>
      <c r="AH57" s="37">
        <f t="shared" si="54"/>
        <v>0</v>
      </c>
      <c r="AI57" s="49" t="s">
        <v>82</v>
      </c>
      <c r="AJ57" s="37">
        <f t="shared" si="55"/>
        <v>0</v>
      </c>
      <c r="AK57" s="37">
        <f t="shared" si="56"/>
        <v>0</v>
      </c>
      <c r="AL57" s="37">
        <f t="shared" si="57"/>
        <v>0</v>
      </c>
      <c r="AN57" s="37">
        <v>21</v>
      </c>
      <c r="AO57" s="37">
        <f>G57*0.928564556</f>
        <v>0</v>
      </c>
      <c r="AP57" s="37">
        <f>G57*(1-0.928564556)</f>
        <v>0</v>
      </c>
      <c r="AQ57" s="68" t="s">
        <v>174</v>
      </c>
      <c r="AV57" s="37">
        <f t="shared" si="58"/>
        <v>0</v>
      </c>
      <c r="AW57" s="37">
        <f t="shared" si="59"/>
        <v>0</v>
      </c>
      <c r="AX57" s="37">
        <f t="shared" si="60"/>
        <v>0</v>
      </c>
      <c r="AY57" s="68" t="s">
        <v>274</v>
      </c>
      <c r="AZ57" s="68" t="s">
        <v>193</v>
      </c>
      <c r="BA57" s="49" t="s">
        <v>154</v>
      </c>
      <c r="BC57" s="37">
        <f t="shared" si="61"/>
        <v>0</v>
      </c>
      <c r="BD57" s="37">
        <f t="shared" si="62"/>
        <v>0</v>
      </c>
      <c r="BE57" s="37">
        <v>0</v>
      </c>
      <c r="BF57" s="37">
        <f>57</f>
        <v>57</v>
      </c>
      <c r="BH57" s="37">
        <f t="shared" si="63"/>
        <v>0</v>
      </c>
      <c r="BI57" s="37">
        <f t="shared" si="64"/>
        <v>0</v>
      </c>
      <c r="BJ57" s="37">
        <f t="shared" si="65"/>
        <v>0</v>
      </c>
      <c r="BK57" s="37"/>
      <c r="BL57" s="37">
        <v>735</v>
      </c>
      <c r="BW57" s="37">
        <v>21</v>
      </c>
      <c r="BX57" s="3" t="s">
        <v>277</v>
      </c>
    </row>
    <row r="58" spans="1:76" x14ac:dyDescent="0.25">
      <c r="A58" s="1" t="s">
        <v>278</v>
      </c>
      <c r="B58" s="2" t="s">
        <v>279</v>
      </c>
      <c r="C58" s="287" t="s">
        <v>280</v>
      </c>
      <c r="D58" s="284"/>
      <c r="E58" s="2" t="s">
        <v>191</v>
      </c>
      <c r="F58" s="37">
        <v>2</v>
      </c>
      <c r="G58" s="66">
        <v>0</v>
      </c>
      <c r="H58" s="37">
        <f t="shared" si="44"/>
        <v>0</v>
      </c>
      <c r="I58" s="37">
        <f t="shared" si="45"/>
        <v>0</v>
      </c>
      <c r="J58" s="37">
        <f t="shared" si="46"/>
        <v>0</v>
      </c>
      <c r="K58" s="67" t="s">
        <v>151</v>
      </c>
      <c r="Z58" s="37">
        <f t="shared" si="47"/>
        <v>0</v>
      </c>
      <c r="AB58" s="37">
        <f t="shared" si="48"/>
        <v>0</v>
      </c>
      <c r="AC58" s="37">
        <f t="shared" si="49"/>
        <v>0</v>
      </c>
      <c r="AD58" s="37">
        <f t="shared" si="50"/>
        <v>0</v>
      </c>
      <c r="AE58" s="37">
        <f t="shared" si="51"/>
        <v>0</v>
      </c>
      <c r="AF58" s="37">
        <f t="shared" si="52"/>
        <v>0</v>
      </c>
      <c r="AG58" s="37">
        <f t="shared" si="53"/>
        <v>0</v>
      </c>
      <c r="AH58" s="37">
        <f t="shared" si="54"/>
        <v>0</v>
      </c>
      <c r="AI58" s="49" t="s">
        <v>82</v>
      </c>
      <c r="AJ58" s="37">
        <f t="shared" si="55"/>
        <v>0</v>
      </c>
      <c r="AK58" s="37">
        <f t="shared" si="56"/>
        <v>0</v>
      </c>
      <c r="AL58" s="37">
        <f t="shared" si="57"/>
        <v>0</v>
      </c>
      <c r="AN58" s="37">
        <v>21</v>
      </c>
      <c r="AO58" s="37">
        <f>G58*0.936076127</f>
        <v>0</v>
      </c>
      <c r="AP58" s="37">
        <f>G58*(1-0.936076127)</f>
        <v>0</v>
      </c>
      <c r="AQ58" s="68" t="s">
        <v>174</v>
      </c>
      <c r="AV58" s="37">
        <f t="shared" si="58"/>
        <v>0</v>
      </c>
      <c r="AW58" s="37">
        <f t="shared" si="59"/>
        <v>0</v>
      </c>
      <c r="AX58" s="37">
        <f t="shared" si="60"/>
        <v>0</v>
      </c>
      <c r="AY58" s="68" t="s">
        <v>274</v>
      </c>
      <c r="AZ58" s="68" t="s">
        <v>193</v>
      </c>
      <c r="BA58" s="49" t="s">
        <v>154</v>
      </c>
      <c r="BC58" s="37">
        <f t="shared" si="61"/>
        <v>0</v>
      </c>
      <c r="BD58" s="37">
        <f t="shared" si="62"/>
        <v>0</v>
      </c>
      <c r="BE58" s="37">
        <v>0</v>
      </c>
      <c r="BF58" s="37">
        <f>58</f>
        <v>58</v>
      </c>
      <c r="BH58" s="37">
        <f t="shared" si="63"/>
        <v>0</v>
      </c>
      <c r="BI58" s="37">
        <f t="shared" si="64"/>
        <v>0</v>
      </c>
      <c r="BJ58" s="37">
        <f t="shared" si="65"/>
        <v>0</v>
      </c>
      <c r="BK58" s="37"/>
      <c r="BL58" s="37">
        <v>735</v>
      </c>
      <c r="BW58" s="37">
        <v>21</v>
      </c>
      <c r="BX58" s="3" t="s">
        <v>280</v>
      </c>
    </row>
    <row r="59" spans="1:76" x14ac:dyDescent="0.25">
      <c r="A59" s="1" t="s">
        <v>281</v>
      </c>
      <c r="B59" s="2" t="s">
        <v>282</v>
      </c>
      <c r="C59" s="287" t="s">
        <v>283</v>
      </c>
      <c r="D59" s="284"/>
      <c r="E59" s="2" t="s">
        <v>191</v>
      </c>
      <c r="F59" s="37">
        <v>2</v>
      </c>
      <c r="G59" s="66">
        <v>0</v>
      </c>
      <c r="H59" s="37">
        <f t="shared" si="44"/>
        <v>0</v>
      </c>
      <c r="I59" s="37">
        <f t="shared" si="45"/>
        <v>0</v>
      </c>
      <c r="J59" s="37">
        <f t="shared" si="46"/>
        <v>0</v>
      </c>
      <c r="K59" s="67" t="s">
        <v>151</v>
      </c>
      <c r="Z59" s="37">
        <f t="shared" si="47"/>
        <v>0</v>
      </c>
      <c r="AB59" s="37">
        <f t="shared" si="48"/>
        <v>0</v>
      </c>
      <c r="AC59" s="37">
        <f t="shared" si="49"/>
        <v>0</v>
      </c>
      <c r="AD59" s="37">
        <f t="shared" si="50"/>
        <v>0</v>
      </c>
      <c r="AE59" s="37">
        <f t="shared" si="51"/>
        <v>0</v>
      </c>
      <c r="AF59" s="37">
        <f t="shared" si="52"/>
        <v>0</v>
      </c>
      <c r="AG59" s="37">
        <f t="shared" si="53"/>
        <v>0</v>
      </c>
      <c r="AH59" s="37">
        <f t="shared" si="54"/>
        <v>0</v>
      </c>
      <c r="AI59" s="49" t="s">
        <v>82</v>
      </c>
      <c r="AJ59" s="37">
        <f t="shared" si="55"/>
        <v>0</v>
      </c>
      <c r="AK59" s="37">
        <f t="shared" si="56"/>
        <v>0</v>
      </c>
      <c r="AL59" s="37">
        <f t="shared" si="57"/>
        <v>0</v>
      </c>
      <c r="AN59" s="37">
        <v>21</v>
      </c>
      <c r="AO59" s="37">
        <f>G59*0.953557538</f>
        <v>0</v>
      </c>
      <c r="AP59" s="37">
        <f>G59*(1-0.953557538)</f>
        <v>0</v>
      </c>
      <c r="AQ59" s="68" t="s">
        <v>174</v>
      </c>
      <c r="AV59" s="37">
        <f t="shared" si="58"/>
        <v>0</v>
      </c>
      <c r="AW59" s="37">
        <f t="shared" si="59"/>
        <v>0</v>
      </c>
      <c r="AX59" s="37">
        <f t="shared" si="60"/>
        <v>0</v>
      </c>
      <c r="AY59" s="68" t="s">
        <v>274</v>
      </c>
      <c r="AZ59" s="68" t="s">
        <v>193</v>
      </c>
      <c r="BA59" s="49" t="s">
        <v>154</v>
      </c>
      <c r="BC59" s="37">
        <f t="shared" si="61"/>
        <v>0</v>
      </c>
      <c r="BD59" s="37">
        <f t="shared" si="62"/>
        <v>0</v>
      </c>
      <c r="BE59" s="37">
        <v>0</v>
      </c>
      <c r="BF59" s="37">
        <f>59</f>
        <v>59</v>
      </c>
      <c r="BH59" s="37">
        <f t="shared" si="63"/>
        <v>0</v>
      </c>
      <c r="BI59" s="37">
        <f t="shared" si="64"/>
        <v>0</v>
      </c>
      <c r="BJ59" s="37">
        <f t="shared" si="65"/>
        <v>0</v>
      </c>
      <c r="BK59" s="37"/>
      <c r="BL59" s="37">
        <v>735</v>
      </c>
      <c r="BW59" s="37">
        <v>21</v>
      </c>
      <c r="BX59" s="3" t="s">
        <v>283</v>
      </c>
    </row>
    <row r="60" spans="1:76" x14ac:dyDescent="0.25">
      <c r="A60" s="1" t="s">
        <v>284</v>
      </c>
      <c r="B60" s="2" t="s">
        <v>285</v>
      </c>
      <c r="C60" s="287" t="s">
        <v>286</v>
      </c>
      <c r="D60" s="284"/>
      <c r="E60" s="2" t="s">
        <v>191</v>
      </c>
      <c r="F60" s="37">
        <v>4</v>
      </c>
      <c r="G60" s="66">
        <v>0</v>
      </c>
      <c r="H60" s="37">
        <f t="shared" si="44"/>
        <v>0</v>
      </c>
      <c r="I60" s="37">
        <f t="shared" si="45"/>
        <v>0</v>
      </c>
      <c r="J60" s="37">
        <f t="shared" si="46"/>
        <v>0</v>
      </c>
      <c r="K60" s="67" t="s">
        <v>151</v>
      </c>
      <c r="Z60" s="37">
        <f t="shared" si="47"/>
        <v>0</v>
      </c>
      <c r="AB60" s="37">
        <f t="shared" si="48"/>
        <v>0</v>
      </c>
      <c r="AC60" s="37">
        <f t="shared" si="49"/>
        <v>0</v>
      </c>
      <c r="AD60" s="37">
        <f t="shared" si="50"/>
        <v>0</v>
      </c>
      <c r="AE60" s="37">
        <f t="shared" si="51"/>
        <v>0</v>
      </c>
      <c r="AF60" s="37">
        <f t="shared" si="52"/>
        <v>0</v>
      </c>
      <c r="AG60" s="37">
        <f t="shared" si="53"/>
        <v>0</v>
      </c>
      <c r="AH60" s="37">
        <f t="shared" si="54"/>
        <v>0</v>
      </c>
      <c r="AI60" s="49" t="s">
        <v>82</v>
      </c>
      <c r="AJ60" s="37">
        <f t="shared" si="55"/>
        <v>0</v>
      </c>
      <c r="AK60" s="37">
        <f t="shared" si="56"/>
        <v>0</v>
      </c>
      <c r="AL60" s="37">
        <f t="shared" si="57"/>
        <v>0</v>
      </c>
      <c r="AN60" s="37">
        <v>21</v>
      </c>
      <c r="AO60" s="37">
        <f>G60*0.956213625</f>
        <v>0</v>
      </c>
      <c r="AP60" s="37">
        <f>G60*(1-0.956213625)</f>
        <v>0</v>
      </c>
      <c r="AQ60" s="68" t="s">
        <v>174</v>
      </c>
      <c r="AV60" s="37">
        <f t="shared" si="58"/>
        <v>0</v>
      </c>
      <c r="AW60" s="37">
        <f t="shared" si="59"/>
        <v>0</v>
      </c>
      <c r="AX60" s="37">
        <f t="shared" si="60"/>
        <v>0</v>
      </c>
      <c r="AY60" s="68" t="s">
        <v>274</v>
      </c>
      <c r="AZ60" s="68" t="s">
        <v>193</v>
      </c>
      <c r="BA60" s="49" t="s">
        <v>154</v>
      </c>
      <c r="BC60" s="37">
        <f t="shared" si="61"/>
        <v>0</v>
      </c>
      <c r="BD60" s="37">
        <f t="shared" si="62"/>
        <v>0</v>
      </c>
      <c r="BE60" s="37">
        <v>0</v>
      </c>
      <c r="BF60" s="37">
        <f>60</f>
        <v>60</v>
      </c>
      <c r="BH60" s="37">
        <f t="shared" si="63"/>
        <v>0</v>
      </c>
      <c r="BI60" s="37">
        <f t="shared" si="64"/>
        <v>0</v>
      </c>
      <c r="BJ60" s="37">
        <f t="shared" si="65"/>
        <v>0</v>
      </c>
      <c r="BK60" s="37"/>
      <c r="BL60" s="37">
        <v>735</v>
      </c>
      <c r="BW60" s="37">
        <v>21</v>
      </c>
      <c r="BX60" s="3" t="s">
        <v>286</v>
      </c>
    </row>
    <row r="61" spans="1:76" x14ac:dyDescent="0.25">
      <c r="A61" s="1" t="s">
        <v>287</v>
      </c>
      <c r="B61" s="2" t="s">
        <v>288</v>
      </c>
      <c r="C61" s="287" t="s">
        <v>289</v>
      </c>
      <c r="D61" s="284"/>
      <c r="E61" s="2" t="s">
        <v>191</v>
      </c>
      <c r="F61" s="37">
        <v>12</v>
      </c>
      <c r="G61" s="66">
        <v>0</v>
      </c>
      <c r="H61" s="37">
        <f t="shared" si="44"/>
        <v>0</v>
      </c>
      <c r="I61" s="37">
        <f t="shared" si="45"/>
        <v>0</v>
      </c>
      <c r="J61" s="37">
        <f t="shared" si="46"/>
        <v>0</v>
      </c>
      <c r="K61" s="67" t="s">
        <v>151</v>
      </c>
      <c r="Z61" s="37">
        <f t="shared" si="47"/>
        <v>0</v>
      </c>
      <c r="AB61" s="37">
        <f t="shared" si="48"/>
        <v>0</v>
      </c>
      <c r="AC61" s="37">
        <f t="shared" si="49"/>
        <v>0</v>
      </c>
      <c r="AD61" s="37">
        <f t="shared" si="50"/>
        <v>0</v>
      </c>
      <c r="AE61" s="37">
        <f t="shared" si="51"/>
        <v>0</v>
      </c>
      <c r="AF61" s="37">
        <f t="shared" si="52"/>
        <v>0</v>
      </c>
      <c r="AG61" s="37">
        <f t="shared" si="53"/>
        <v>0</v>
      </c>
      <c r="AH61" s="37">
        <f t="shared" si="54"/>
        <v>0</v>
      </c>
      <c r="AI61" s="49" t="s">
        <v>82</v>
      </c>
      <c r="AJ61" s="37">
        <f t="shared" si="55"/>
        <v>0</v>
      </c>
      <c r="AK61" s="37">
        <f t="shared" si="56"/>
        <v>0</v>
      </c>
      <c r="AL61" s="37">
        <f t="shared" si="57"/>
        <v>0</v>
      </c>
      <c r="AN61" s="37">
        <v>21</v>
      </c>
      <c r="AO61" s="37">
        <f>G61*0.010669193</f>
        <v>0</v>
      </c>
      <c r="AP61" s="37">
        <f>G61*(1-0.010669193)</f>
        <v>0</v>
      </c>
      <c r="AQ61" s="68" t="s">
        <v>174</v>
      </c>
      <c r="AV61" s="37">
        <f t="shared" si="58"/>
        <v>0</v>
      </c>
      <c r="AW61" s="37">
        <f t="shared" si="59"/>
        <v>0</v>
      </c>
      <c r="AX61" s="37">
        <f t="shared" si="60"/>
        <v>0</v>
      </c>
      <c r="AY61" s="68" t="s">
        <v>274</v>
      </c>
      <c r="AZ61" s="68" t="s">
        <v>193</v>
      </c>
      <c r="BA61" s="49" t="s">
        <v>154</v>
      </c>
      <c r="BC61" s="37">
        <f t="shared" si="61"/>
        <v>0</v>
      </c>
      <c r="BD61" s="37">
        <f t="shared" si="62"/>
        <v>0</v>
      </c>
      <c r="BE61" s="37">
        <v>0</v>
      </c>
      <c r="BF61" s="37">
        <f>61</f>
        <v>61</v>
      </c>
      <c r="BH61" s="37">
        <f t="shared" si="63"/>
        <v>0</v>
      </c>
      <c r="BI61" s="37">
        <f t="shared" si="64"/>
        <v>0</v>
      </c>
      <c r="BJ61" s="37">
        <f t="shared" si="65"/>
        <v>0</v>
      </c>
      <c r="BK61" s="37"/>
      <c r="BL61" s="37">
        <v>735</v>
      </c>
      <c r="BW61" s="37">
        <v>21</v>
      </c>
      <c r="BX61" s="3" t="s">
        <v>289</v>
      </c>
    </row>
    <row r="62" spans="1:76" x14ac:dyDescent="0.25">
      <c r="A62" s="1" t="s">
        <v>290</v>
      </c>
      <c r="B62" s="2" t="s">
        <v>291</v>
      </c>
      <c r="C62" s="287" t="s">
        <v>292</v>
      </c>
      <c r="D62" s="284"/>
      <c r="E62" s="2" t="s">
        <v>191</v>
      </c>
      <c r="F62" s="37">
        <v>12</v>
      </c>
      <c r="G62" s="66">
        <v>0</v>
      </c>
      <c r="H62" s="37">
        <f t="shared" si="44"/>
        <v>0</v>
      </c>
      <c r="I62" s="37">
        <f t="shared" si="45"/>
        <v>0</v>
      </c>
      <c r="J62" s="37">
        <f t="shared" si="46"/>
        <v>0</v>
      </c>
      <c r="K62" s="67" t="s">
        <v>151</v>
      </c>
      <c r="Z62" s="37">
        <f t="shared" si="47"/>
        <v>0</v>
      </c>
      <c r="AB62" s="37">
        <f t="shared" si="48"/>
        <v>0</v>
      </c>
      <c r="AC62" s="37">
        <f t="shared" si="49"/>
        <v>0</v>
      </c>
      <c r="AD62" s="37">
        <f t="shared" si="50"/>
        <v>0</v>
      </c>
      <c r="AE62" s="37">
        <f t="shared" si="51"/>
        <v>0</v>
      </c>
      <c r="AF62" s="37">
        <f t="shared" si="52"/>
        <v>0</v>
      </c>
      <c r="AG62" s="37">
        <f t="shared" si="53"/>
        <v>0</v>
      </c>
      <c r="AH62" s="37">
        <f t="shared" si="54"/>
        <v>0</v>
      </c>
      <c r="AI62" s="49" t="s">
        <v>82</v>
      </c>
      <c r="AJ62" s="37">
        <f t="shared" si="55"/>
        <v>0</v>
      </c>
      <c r="AK62" s="37">
        <f t="shared" si="56"/>
        <v>0</v>
      </c>
      <c r="AL62" s="37">
        <f t="shared" si="57"/>
        <v>0</v>
      </c>
      <c r="AN62" s="37">
        <v>21</v>
      </c>
      <c r="AO62" s="37">
        <f>G62*0</f>
        <v>0</v>
      </c>
      <c r="AP62" s="37">
        <f>G62*(1-0)</f>
        <v>0</v>
      </c>
      <c r="AQ62" s="68" t="s">
        <v>174</v>
      </c>
      <c r="AV62" s="37">
        <f t="shared" si="58"/>
        <v>0</v>
      </c>
      <c r="AW62" s="37">
        <f t="shared" si="59"/>
        <v>0</v>
      </c>
      <c r="AX62" s="37">
        <f t="shared" si="60"/>
        <v>0</v>
      </c>
      <c r="AY62" s="68" t="s">
        <v>274</v>
      </c>
      <c r="AZ62" s="68" t="s">
        <v>193</v>
      </c>
      <c r="BA62" s="49" t="s">
        <v>154</v>
      </c>
      <c r="BC62" s="37">
        <f t="shared" si="61"/>
        <v>0</v>
      </c>
      <c r="BD62" s="37">
        <f t="shared" si="62"/>
        <v>0</v>
      </c>
      <c r="BE62" s="37">
        <v>0</v>
      </c>
      <c r="BF62" s="37">
        <f>62</f>
        <v>62</v>
      </c>
      <c r="BH62" s="37">
        <f t="shared" si="63"/>
        <v>0</v>
      </c>
      <c r="BI62" s="37">
        <f t="shared" si="64"/>
        <v>0</v>
      </c>
      <c r="BJ62" s="37">
        <f t="shared" si="65"/>
        <v>0</v>
      </c>
      <c r="BK62" s="37"/>
      <c r="BL62" s="37">
        <v>735</v>
      </c>
      <c r="BW62" s="37">
        <v>21</v>
      </c>
      <c r="BX62" s="3" t="s">
        <v>292</v>
      </c>
    </row>
    <row r="63" spans="1:76" x14ac:dyDescent="0.25">
      <c r="A63" s="1" t="s">
        <v>293</v>
      </c>
      <c r="B63" s="2" t="s">
        <v>294</v>
      </c>
      <c r="C63" s="287" t="s">
        <v>295</v>
      </c>
      <c r="D63" s="284"/>
      <c r="E63" s="2" t="s">
        <v>296</v>
      </c>
      <c r="F63" s="37">
        <v>1</v>
      </c>
      <c r="G63" s="66">
        <v>0</v>
      </c>
      <c r="H63" s="37">
        <f t="shared" si="44"/>
        <v>0</v>
      </c>
      <c r="I63" s="37">
        <f t="shared" si="45"/>
        <v>0</v>
      </c>
      <c r="J63" s="37">
        <f t="shared" si="46"/>
        <v>0</v>
      </c>
      <c r="K63" s="67" t="s">
        <v>4</v>
      </c>
      <c r="Z63" s="37">
        <f t="shared" si="47"/>
        <v>0</v>
      </c>
      <c r="AB63" s="37">
        <f t="shared" si="48"/>
        <v>0</v>
      </c>
      <c r="AC63" s="37">
        <f t="shared" si="49"/>
        <v>0</v>
      </c>
      <c r="AD63" s="37">
        <f t="shared" si="50"/>
        <v>0</v>
      </c>
      <c r="AE63" s="37">
        <f t="shared" si="51"/>
        <v>0</v>
      </c>
      <c r="AF63" s="37">
        <f t="shared" si="52"/>
        <v>0</v>
      </c>
      <c r="AG63" s="37">
        <f t="shared" si="53"/>
        <v>0</v>
      </c>
      <c r="AH63" s="37">
        <f t="shared" si="54"/>
        <v>0</v>
      </c>
      <c r="AI63" s="49" t="s">
        <v>82</v>
      </c>
      <c r="AJ63" s="37">
        <f t="shared" si="55"/>
        <v>0</v>
      </c>
      <c r="AK63" s="37">
        <f t="shared" si="56"/>
        <v>0</v>
      </c>
      <c r="AL63" s="37">
        <f t="shared" si="57"/>
        <v>0</v>
      </c>
      <c r="AN63" s="37">
        <v>21</v>
      </c>
      <c r="AO63" s="37">
        <f>G63*0</f>
        <v>0</v>
      </c>
      <c r="AP63" s="37">
        <f>G63*(1-0)</f>
        <v>0</v>
      </c>
      <c r="AQ63" s="68" t="s">
        <v>297</v>
      </c>
      <c r="AV63" s="37">
        <f t="shared" si="58"/>
        <v>0</v>
      </c>
      <c r="AW63" s="37">
        <f t="shared" si="59"/>
        <v>0</v>
      </c>
      <c r="AX63" s="37">
        <f t="shared" si="60"/>
        <v>0</v>
      </c>
      <c r="AY63" s="68" t="s">
        <v>274</v>
      </c>
      <c r="AZ63" s="68" t="s">
        <v>193</v>
      </c>
      <c r="BA63" s="49" t="s">
        <v>154</v>
      </c>
      <c r="BC63" s="37">
        <f t="shared" si="61"/>
        <v>0</v>
      </c>
      <c r="BD63" s="37">
        <f t="shared" si="62"/>
        <v>0</v>
      </c>
      <c r="BE63" s="37">
        <v>0</v>
      </c>
      <c r="BF63" s="37">
        <f>63</f>
        <v>63</v>
      </c>
      <c r="BH63" s="37">
        <f t="shared" si="63"/>
        <v>0</v>
      </c>
      <c r="BI63" s="37">
        <f t="shared" si="64"/>
        <v>0</v>
      </c>
      <c r="BJ63" s="37">
        <f t="shared" si="65"/>
        <v>0</v>
      </c>
      <c r="BK63" s="37"/>
      <c r="BL63" s="37">
        <v>735</v>
      </c>
      <c r="BW63" s="37">
        <v>21</v>
      </c>
      <c r="BX63" s="3" t="s">
        <v>295</v>
      </c>
    </row>
    <row r="64" spans="1:76" x14ac:dyDescent="0.25">
      <c r="A64" s="1" t="s">
        <v>298</v>
      </c>
      <c r="B64" s="2" t="s">
        <v>299</v>
      </c>
      <c r="C64" s="287" t="s">
        <v>300</v>
      </c>
      <c r="D64" s="284"/>
      <c r="E64" s="2" t="s">
        <v>191</v>
      </c>
      <c r="F64" s="37">
        <v>1</v>
      </c>
      <c r="G64" s="66">
        <v>0</v>
      </c>
      <c r="H64" s="37">
        <f t="shared" si="44"/>
        <v>0</v>
      </c>
      <c r="I64" s="37">
        <f t="shared" si="45"/>
        <v>0</v>
      </c>
      <c r="J64" s="37">
        <f t="shared" si="46"/>
        <v>0</v>
      </c>
      <c r="K64" s="67" t="s">
        <v>151</v>
      </c>
      <c r="Z64" s="37">
        <f t="shared" si="47"/>
        <v>0</v>
      </c>
      <c r="AB64" s="37">
        <f t="shared" si="48"/>
        <v>0</v>
      </c>
      <c r="AC64" s="37">
        <f t="shared" si="49"/>
        <v>0</v>
      </c>
      <c r="AD64" s="37">
        <f t="shared" si="50"/>
        <v>0</v>
      </c>
      <c r="AE64" s="37">
        <f t="shared" si="51"/>
        <v>0</v>
      </c>
      <c r="AF64" s="37">
        <f t="shared" si="52"/>
        <v>0</v>
      </c>
      <c r="AG64" s="37">
        <f t="shared" si="53"/>
        <v>0</v>
      </c>
      <c r="AH64" s="37">
        <f t="shared" si="54"/>
        <v>0</v>
      </c>
      <c r="AI64" s="49" t="s">
        <v>82</v>
      </c>
      <c r="AJ64" s="37">
        <f t="shared" si="55"/>
        <v>0</v>
      </c>
      <c r="AK64" s="37">
        <f t="shared" si="56"/>
        <v>0</v>
      </c>
      <c r="AL64" s="37">
        <f t="shared" si="57"/>
        <v>0</v>
      </c>
      <c r="AN64" s="37">
        <v>21</v>
      </c>
      <c r="AO64" s="37">
        <f>G64*0</f>
        <v>0</v>
      </c>
      <c r="AP64" s="37">
        <f>G64*(1-0)</f>
        <v>0</v>
      </c>
      <c r="AQ64" s="68" t="s">
        <v>155</v>
      </c>
      <c r="AV64" s="37">
        <f t="shared" si="58"/>
        <v>0</v>
      </c>
      <c r="AW64" s="37">
        <f t="shared" si="59"/>
        <v>0</v>
      </c>
      <c r="AX64" s="37">
        <f t="shared" si="60"/>
        <v>0</v>
      </c>
      <c r="AY64" s="68" t="s">
        <v>274</v>
      </c>
      <c r="AZ64" s="68" t="s">
        <v>193</v>
      </c>
      <c r="BA64" s="49" t="s">
        <v>154</v>
      </c>
      <c r="BC64" s="37">
        <f t="shared" si="61"/>
        <v>0</v>
      </c>
      <c r="BD64" s="37">
        <f t="shared" si="62"/>
        <v>0</v>
      </c>
      <c r="BE64" s="37">
        <v>0</v>
      </c>
      <c r="BF64" s="37">
        <f>64</f>
        <v>64</v>
      </c>
      <c r="BH64" s="37">
        <f t="shared" si="63"/>
        <v>0</v>
      </c>
      <c r="BI64" s="37">
        <f t="shared" si="64"/>
        <v>0</v>
      </c>
      <c r="BJ64" s="37">
        <f t="shared" si="65"/>
        <v>0</v>
      </c>
      <c r="BK64" s="37"/>
      <c r="BL64" s="37">
        <v>735</v>
      </c>
      <c r="BW64" s="37">
        <v>21</v>
      </c>
      <c r="BX64" s="3" t="s">
        <v>300</v>
      </c>
    </row>
    <row r="65" spans="1:76" x14ac:dyDescent="0.25">
      <c r="A65" s="1" t="s">
        <v>301</v>
      </c>
      <c r="B65" s="2" t="s">
        <v>302</v>
      </c>
      <c r="C65" s="287" t="s">
        <v>303</v>
      </c>
      <c r="D65" s="284"/>
      <c r="E65" s="2" t="s">
        <v>62</v>
      </c>
      <c r="F65" s="37">
        <v>1369.8030000000001</v>
      </c>
      <c r="G65" s="66">
        <v>0</v>
      </c>
      <c r="H65" s="37">
        <f t="shared" si="44"/>
        <v>0</v>
      </c>
      <c r="I65" s="37">
        <f t="shared" si="45"/>
        <v>0</v>
      </c>
      <c r="J65" s="37">
        <f t="shared" si="46"/>
        <v>0</v>
      </c>
      <c r="K65" s="67" t="s">
        <v>151</v>
      </c>
      <c r="Z65" s="37">
        <f t="shared" si="47"/>
        <v>0</v>
      </c>
      <c r="AB65" s="37">
        <f t="shared" si="48"/>
        <v>0</v>
      </c>
      <c r="AC65" s="37">
        <f t="shared" si="49"/>
        <v>0</v>
      </c>
      <c r="AD65" s="37">
        <f t="shared" si="50"/>
        <v>0</v>
      </c>
      <c r="AE65" s="37">
        <f t="shared" si="51"/>
        <v>0</v>
      </c>
      <c r="AF65" s="37">
        <f t="shared" si="52"/>
        <v>0</v>
      </c>
      <c r="AG65" s="37">
        <f t="shared" si="53"/>
        <v>0</v>
      </c>
      <c r="AH65" s="37">
        <f t="shared" si="54"/>
        <v>0</v>
      </c>
      <c r="AI65" s="49" t="s">
        <v>82</v>
      </c>
      <c r="AJ65" s="37">
        <f t="shared" si="55"/>
        <v>0</v>
      </c>
      <c r="AK65" s="37">
        <f t="shared" si="56"/>
        <v>0</v>
      </c>
      <c r="AL65" s="37">
        <f t="shared" si="57"/>
        <v>0</v>
      </c>
      <c r="AN65" s="37">
        <v>21</v>
      </c>
      <c r="AO65" s="37">
        <f>G65*0</f>
        <v>0</v>
      </c>
      <c r="AP65" s="37">
        <f>G65*(1-0)</f>
        <v>0</v>
      </c>
      <c r="AQ65" s="68" t="s">
        <v>166</v>
      </c>
      <c r="AV65" s="37">
        <f t="shared" si="58"/>
        <v>0</v>
      </c>
      <c r="AW65" s="37">
        <f t="shared" si="59"/>
        <v>0</v>
      </c>
      <c r="AX65" s="37">
        <f t="shared" si="60"/>
        <v>0</v>
      </c>
      <c r="AY65" s="68" t="s">
        <v>274</v>
      </c>
      <c r="AZ65" s="68" t="s">
        <v>193</v>
      </c>
      <c r="BA65" s="49" t="s">
        <v>154</v>
      </c>
      <c r="BC65" s="37">
        <f t="shared" si="61"/>
        <v>0</v>
      </c>
      <c r="BD65" s="37">
        <f t="shared" si="62"/>
        <v>0</v>
      </c>
      <c r="BE65" s="37">
        <v>0</v>
      </c>
      <c r="BF65" s="37">
        <f>65</f>
        <v>65</v>
      </c>
      <c r="BH65" s="37">
        <f t="shared" si="63"/>
        <v>0</v>
      </c>
      <c r="BI65" s="37">
        <f t="shared" si="64"/>
        <v>0</v>
      </c>
      <c r="BJ65" s="37">
        <f t="shared" si="65"/>
        <v>0</v>
      </c>
      <c r="BK65" s="37"/>
      <c r="BL65" s="37">
        <v>735</v>
      </c>
      <c r="BW65" s="37">
        <v>21</v>
      </c>
      <c r="BX65" s="3" t="s">
        <v>303</v>
      </c>
    </row>
    <row r="66" spans="1:76" x14ac:dyDescent="0.25">
      <c r="A66" s="61" t="s">
        <v>4</v>
      </c>
      <c r="B66" s="62" t="s">
        <v>98</v>
      </c>
      <c r="C66" s="370" t="s">
        <v>99</v>
      </c>
      <c r="D66" s="371"/>
      <c r="E66" s="63" t="s">
        <v>74</v>
      </c>
      <c r="F66" s="63" t="s">
        <v>74</v>
      </c>
      <c r="G66" s="64" t="s">
        <v>74</v>
      </c>
      <c r="H66" s="43">
        <f>SUM(H67:H75)</f>
        <v>0</v>
      </c>
      <c r="I66" s="43">
        <f>SUM(I67:I75)</f>
        <v>0</v>
      </c>
      <c r="J66" s="43">
        <f>SUM(J67:J75)</f>
        <v>0</v>
      </c>
      <c r="K66" s="65" t="s">
        <v>4</v>
      </c>
      <c r="AI66" s="49" t="s">
        <v>82</v>
      </c>
      <c r="AS66" s="43">
        <f>SUM(AJ67:AJ75)</f>
        <v>0</v>
      </c>
      <c r="AT66" s="43">
        <f>SUM(AK67:AK75)</f>
        <v>0</v>
      </c>
      <c r="AU66" s="43">
        <f>SUM(AL67:AL75)</f>
        <v>0</v>
      </c>
    </row>
    <row r="67" spans="1:76" x14ac:dyDescent="0.25">
      <c r="A67" s="1" t="s">
        <v>304</v>
      </c>
      <c r="B67" s="2" t="s">
        <v>305</v>
      </c>
      <c r="C67" s="287" t="s">
        <v>306</v>
      </c>
      <c r="D67" s="284"/>
      <c r="E67" s="2" t="s">
        <v>191</v>
      </c>
      <c r="F67" s="37">
        <v>45</v>
      </c>
      <c r="G67" s="66">
        <v>0</v>
      </c>
      <c r="H67" s="37">
        <f t="shared" ref="H67:H75" si="66">F67*AO67</f>
        <v>0</v>
      </c>
      <c r="I67" s="37">
        <f t="shared" ref="I67:I75" si="67">F67*AP67</f>
        <v>0</v>
      </c>
      <c r="J67" s="37">
        <f t="shared" ref="J67:J75" si="68">F67*G67</f>
        <v>0</v>
      </c>
      <c r="K67" s="67" t="s">
        <v>151</v>
      </c>
      <c r="Z67" s="37">
        <f t="shared" ref="Z67:Z75" si="69">IF(AQ67="5",BJ67,0)</f>
        <v>0</v>
      </c>
      <c r="AB67" s="37">
        <f t="shared" ref="AB67:AB75" si="70">IF(AQ67="1",BH67,0)</f>
        <v>0</v>
      </c>
      <c r="AC67" s="37">
        <f t="shared" ref="AC67:AC75" si="71">IF(AQ67="1",BI67,0)</f>
        <v>0</v>
      </c>
      <c r="AD67" s="37">
        <f t="shared" ref="AD67:AD75" si="72">IF(AQ67="7",BH67,0)</f>
        <v>0</v>
      </c>
      <c r="AE67" s="37">
        <f t="shared" ref="AE67:AE75" si="73">IF(AQ67="7",BI67,0)</f>
        <v>0</v>
      </c>
      <c r="AF67" s="37">
        <f t="shared" ref="AF67:AF75" si="74">IF(AQ67="2",BH67,0)</f>
        <v>0</v>
      </c>
      <c r="AG67" s="37">
        <f t="shared" ref="AG67:AG75" si="75">IF(AQ67="2",BI67,0)</f>
        <v>0</v>
      </c>
      <c r="AH67" s="37">
        <f t="shared" ref="AH67:AH75" si="76">IF(AQ67="0",BJ67,0)</f>
        <v>0</v>
      </c>
      <c r="AI67" s="49" t="s">
        <v>82</v>
      </c>
      <c r="AJ67" s="37">
        <f t="shared" ref="AJ67:AJ75" si="77">IF(AN67=0,J67,0)</f>
        <v>0</v>
      </c>
      <c r="AK67" s="37">
        <f t="shared" ref="AK67:AK75" si="78">IF(AN67=12,J67,0)</f>
        <v>0</v>
      </c>
      <c r="AL67" s="37">
        <f t="shared" ref="AL67:AL75" si="79">IF(AN67=21,J67,0)</f>
        <v>0</v>
      </c>
      <c r="AN67" s="37">
        <v>21</v>
      </c>
      <c r="AO67" s="37">
        <f>G67*0.037642857</f>
        <v>0</v>
      </c>
      <c r="AP67" s="37">
        <f>G67*(1-0.037642857)</f>
        <v>0</v>
      </c>
      <c r="AQ67" s="68" t="s">
        <v>174</v>
      </c>
      <c r="AV67" s="37">
        <f t="shared" ref="AV67:AV75" si="80">AW67+AX67</f>
        <v>0</v>
      </c>
      <c r="AW67" s="37">
        <f t="shared" ref="AW67:AW75" si="81">F67*AO67</f>
        <v>0</v>
      </c>
      <c r="AX67" s="37">
        <f t="shared" ref="AX67:AX75" si="82">F67*AP67</f>
        <v>0</v>
      </c>
      <c r="AY67" s="68" t="s">
        <v>307</v>
      </c>
      <c r="AZ67" s="68" t="s">
        <v>308</v>
      </c>
      <c r="BA67" s="49" t="s">
        <v>154</v>
      </c>
      <c r="BC67" s="37">
        <f t="shared" ref="BC67:BC75" si="83">AW67+AX67</f>
        <v>0</v>
      </c>
      <c r="BD67" s="37">
        <f t="shared" ref="BD67:BD75" si="84">G67/(100-BE67)*100</f>
        <v>0</v>
      </c>
      <c r="BE67" s="37">
        <v>0</v>
      </c>
      <c r="BF67" s="37">
        <f>67</f>
        <v>67</v>
      </c>
      <c r="BH67" s="37">
        <f t="shared" ref="BH67:BH75" si="85">F67*AO67</f>
        <v>0</v>
      </c>
      <c r="BI67" s="37">
        <f t="shared" ref="BI67:BI75" si="86">F67*AP67</f>
        <v>0</v>
      </c>
      <c r="BJ67" s="37">
        <f t="shared" ref="BJ67:BJ75" si="87">F67*G67</f>
        <v>0</v>
      </c>
      <c r="BK67" s="37"/>
      <c r="BL67" s="37">
        <v>766</v>
      </c>
      <c r="BW67" s="37">
        <v>21</v>
      </c>
      <c r="BX67" s="3" t="s">
        <v>306</v>
      </c>
    </row>
    <row r="68" spans="1:76" x14ac:dyDescent="0.25">
      <c r="A68" s="1" t="s">
        <v>309</v>
      </c>
      <c r="B68" s="2" t="s">
        <v>310</v>
      </c>
      <c r="C68" s="287" t="s">
        <v>311</v>
      </c>
      <c r="D68" s="284"/>
      <c r="E68" s="2" t="s">
        <v>191</v>
      </c>
      <c r="F68" s="37">
        <v>1</v>
      </c>
      <c r="G68" s="66">
        <v>0</v>
      </c>
      <c r="H68" s="37">
        <f t="shared" si="66"/>
        <v>0</v>
      </c>
      <c r="I68" s="37">
        <f t="shared" si="67"/>
        <v>0</v>
      </c>
      <c r="J68" s="37">
        <f t="shared" si="68"/>
        <v>0</v>
      </c>
      <c r="K68" s="67" t="s">
        <v>151</v>
      </c>
      <c r="Z68" s="37">
        <f t="shared" si="69"/>
        <v>0</v>
      </c>
      <c r="AB68" s="37">
        <f t="shared" si="70"/>
        <v>0</v>
      </c>
      <c r="AC68" s="37">
        <f t="shared" si="71"/>
        <v>0</v>
      </c>
      <c r="AD68" s="37">
        <f t="shared" si="72"/>
        <v>0</v>
      </c>
      <c r="AE68" s="37">
        <f t="shared" si="73"/>
        <v>0</v>
      </c>
      <c r="AF68" s="37">
        <f t="shared" si="74"/>
        <v>0</v>
      </c>
      <c r="AG68" s="37">
        <f t="shared" si="75"/>
        <v>0</v>
      </c>
      <c r="AH68" s="37">
        <f t="shared" si="76"/>
        <v>0</v>
      </c>
      <c r="AI68" s="49" t="s">
        <v>82</v>
      </c>
      <c r="AJ68" s="37">
        <f t="shared" si="77"/>
        <v>0</v>
      </c>
      <c r="AK68" s="37">
        <f t="shared" si="78"/>
        <v>0</v>
      </c>
      <c r="AL68" s="37">
        <f t="shared" si="79"/>
        <v>0</v>
      </c>
      <c r="AN68" s="37">
        <v>21</v>
      </c>
      <c r="AO68" s="37">
        <f>G68*0</f>
        <v>0</v>
      </c>
      <c r="AP68" s="37">
        <f>G68*(1-0)</f>
        <v>0</v>
      </c>
      <c r="AQ68" s="68" t="s">
        <v>174</v>
      </c>
      <c r="AV68" s="37">
        <f t="shared" si="80"/>
        <v>0</v>
      </c>
      <c r="AW68" s="37">
        <f t="shared" si="81"/>
        <v>0</v>
      </c>
      <c r="AX68" s="37">
        <f t="shared" si="82"/>
        <v>0</v>
      </c>
      <c r="AY68" s="68" t="s">
        <v>307</v>
      </c>
      <c r="AZ68" s="68" t="s">
        <v>308</v>
      </c>
      <c r="BA68" s="49" t="s">
        <v>154</v>
      </c>
      <c r="BC68" s="37">
        <f t="shared" si="83"/>
        <v>0</v>
      </c>
      <c r="BD68" s="37">
        <f t="shared" si="84"/>
        <v>0</v>
      </c>
      <c r="BE68" s="37">
        <v>0</v>
      </c>
      <c r="BF68" s="37">
        <f>68</f>
        <v>68</v>
      </c>
      <c r="BH68" s="37">
        <f t="shared" si="85"/>
        <v>0</v>
      </c>
      <c r="BI68" s="37">
        <f t="shared" si="86"/>
        <v>0</v>
      </c>
      <c r="BJ68" s="37">
        <f t="shared" si="87"/>
        <v>0</v>
      </c>
      <c r="BK68" s="37"/>
      <c r="BL68" s="37">
        <v>766</v>
      </c>
      <c r="BW68" s="37">
        <v>21</v>
      </c>
      <c r="BX68" s="3" t="s">
        <v>311</v>
      </c>
    </row>
    <row r="69" spans="1:76" x14ac:dyDescent="0.25">
      <c r="A69" s="1" t="s">
        <v>312</v>
      </c>
      <c r="B69" s="2" t="s">
        <v>313</v>
      </c>
      <c r="C69" s="287" t="s">
        <v>314</v>
      </c>
      <c r="D69" s="284"/>
      <c r="E69" s="2" t="s">
        <v>191</v>
      </c>
      <c r="F69" s="37">
        <v>9</v>
      </c>
      <c r="G69" s="66">
        <v>0</v>
      </c>
      <c r="H69" s="37">
        <f t="shared" si="66"/>
        <v>0</v>
      </c>
      <c r="I69" s="37">
        <f t="shared" si="67"/>
        <v>0</v>
      </c>
      <c r="J69" s="37">
        <f t="shared" si="68"/>
        <v>0</v>
      </c>
      <c r="K69" s="67" t="s">
        <v>151</v>
      </c>
      <c r="Z69" s="37">
        <f t="shared" si="69"/>
        <v>0</v>
      </c>
      <c r="AB69" s="37">
        <f t="shared" si="70"/>
        <v>0</v>
      </c>
      <c r="AC69" s="37">
        <f t="shared" si="71"/>
        <v>0</v>
      </c>
      <c r="AD69" s="37">
        <f t="shared" si="72"/>
        <v>0</v>
      </c>
      <c r="AE69" s="37">
        <f t="shared" si="73"/>
        <v>0</v>
      </c>
      <c r="AF69" s="37">
        <f t="shared" si="74"/>
        <v>0</v>
      </c>
      <c r="AG69" s="37">
        <f t="shared" si="75"/>
        <v>0</v>
      </c>
      <c r="AH69" s="37">
        <f t="shared" si="76"/>
        <v>0</v>
      </c>
      <c r="AI69" s="49" t="s">
        <v>82</v>
      </c>
      <c r="AJ69" s="37">
        <f t="shared" si="77"/>
        <v>0</v>
      </c>
      <c r="AK69" s="37">
        <f t="shared" si="78"/>
        <v>0</v>
      </c>
      <c r="AL69" s="37">
        <f t="shared" si="79"/>
        <v>0</v>
      </c>
      <c r="AN69" s="37">
        <v>21</v>
      </c>
      <c r="AO69" s="37">
        <f>G69*0</f>
        <v>0</v>
      </c>
      <c r="AP69" s="37">
        <f>G69*(1-0)</f>
        <v>0</v>
      </c>
      <c r="AQ69" s="68" t="s">
        <v>174</v>
      </c>
      <c r="AV69" s="37">
        <f t="shared" si="80"/>
        <v>0</v>
      </c>
      <c r="AW69" s="37">
        <f t="shared" si="81"/>
        <v>0</v>
      </c>
      <c r="AX69" s="37">
        <f t="shared" si="82"/>
        <v>0</v>
      </c>
      <c r="AY69" s="68" t="s">
        <v>307</v>
      </c>
      <c r="AZ69" s="68" t="s">
        <v>308</v>
      </c>
      <c r="BA69" s="49" t="s">
        <v>154</v>
      </c>
      <c r="BC69" s="37">
        <f t="shared" si="83"/>
        <v>0</v>
      </c>
      <c r="BD69" s="37">
        <f t="shared" si="84"/>
        <v>0</v>
      </c>
      <c r="BE69" s="37">
        <v>0</v>
      </c>
      <c r="BF69" s="37">
        <f>69</f>
        <v>69</v>
      </c>
      <c r="BH69" s="37">
        <f t="shared" si="85"/>
        <v>0</v>
      </c>
      <c r="BI69" s="37">
        <f t="shared" si="86"/>
        <v>0</v>
      </c>
      <c r="BJ69" s="37">
        <f t="shared" si="87"/>
        <v>0</v>
      </c>
      <c r="BK69" s="37"/>
      <c r="BL69" s="37">
        <v>766</v>
      </c>
      <c r="BW69" s="37">
        <v>21</v>
      </c>
      <c r="BX69" s="3" t="s">
        <v>314</v>
      </c>
    </row>
    <row r="70" spans="1:76" x14ac:dyDescent="0.25">
      <c r="A70" s="1" t="s">
        <v>315</v>
      </c>
      <c r="B70" s="2" t="s">
        <v>316</v>
      </c>
      <c r="C70" s="287" t="s">
        <v>317</v>
      </c>
      <c r="D70" s="284"/>
      <c r="E70" s="2" t="s">
        <v>191</v>
      </c>
      <c r="F70" s="37">
        <v>51</v>
      </c>
      <c r="G70" s="66">
        <v>0</v>
      </c>
      <c r="H70" s="37">
        <f t="shared" si="66"/>
        <v>0</v>
      </c>
      <c r="I70" s="37">
        <f t="shared" si="67"/>
        <v>0</v>
      </c>
      <c r="J70" s="37">
        <f t="shared" si="68"/>
        <v>0</v>
      </c>
      <c r="K70" s="67" t="s">
        <v>151</v>
      </c>
      <c r="Z70" s="37">
        <f t="shared" si="69"/>
        <v>0</v>
      </c>
      <c r="AB70" s="37">
        <f t="shared" si="70"/>
        <v>0</v>
      </c>
      <c r="AC70" s="37">
        <f t="shared" si="71"/>
        <v>0</v>
      </c>
      <c r="AD70" s="37">
        <f t="shared" si="72"/>
        <v>0</v>
      </c>
      <c r="AE70" s="37">
        <f t="shared" si="73"/>
        <v>0</v>
      </c>
      <c r="AF70" s="37">
        <f t="shared" si="74"/>
        <v>0</v>
      </c>
      <c r="AG70" s="37">
        <f t="shared" si="75"/>
        <v>0</v>
      </c>
      <c r="AH70" s="37">
        <f t="shared" si="76"/>
        <v>0</v>
      </c>
      <c r="AI70" s="49" t="s">
        <v>82</v>
      </c>
      <c r="AJ70" s="37">
        <f t="shared" si="77"/>
        <v>0</v>
      </c>
      <c r="AK70" s="37">
        <f t="shared" si="78"/>
        <v>0</v>
      </c>
      <c r="AL70" s="37">
        <f t="shared" si="79"/>
        <v>0</v>
      </c>
      <c r="AN70" s="37">
        <v>21</v>
      </c>
      <c r="AO70" s="37">
        <f>G70*0</f>
        <v>0</v>
      </c>
      <c r="AP70" s="37">
        <f>G70*(1-0)</f>
        <v>0</v>
      </c>
      <c r="AQ70" s="68" t="s">
        <v>174</v>
      </c>
      <c r="AV70" s="37">
        <f t="shared" si="80"/>
        <v>0</v>
      </c>
      <c r="AW70" s="37">
        <f t="shared" si="81"/>
        <v>0</v>
      </c>
      <c r="AX70" s="37">
        <f t="shared" si="82"/>
        <v>0</v>
      </c>
      <c r="AY70" s="68" t="s">
        <v>307</v>
      </c>
      <c r="AZ70" s="68" t="s">
        <v>308</v>
      </c>
      <c r="BA70" s="49" t="s">
        <v>154</v>
      </c>
      <c r="BC70" s="37">
        <f t="shared" si="83"/>
        <v>0</v>
      </c>
      <c r="BD70" s="37">
        <f t="shared" si="84"/>
        <v>0</v>
      </c>
      <c r="BE70" s="37">
        <v>0</v>
      </c>
      <c r="BF70" s="37">
        <f>70</f>
        <v>70</v>
      </c>
      <c r="BH70" s="37">
        <f t="shared" si="85"/>
        <v>0</v>
      </c>
      <c r="BI70" s="37">
        <f t="shared" si="86"/>
        <v>0</v>
      </c>
      <c r="BJ70" s="37">
        <f t="shared" si="87"/>
        <v>0</v>
      </c>
      <c r="BK70" s="37"/>
      <c r="BL70" s="37">
        <v>766</v>
      </c>
      <c r="BW70" s="37">
        <v>21</v>
      </c>
      <c r="BX70" s="3" t="s">
        <v>317</v>
      </c>
    </row>
    <row r="71" spans="1:76" x14ac:dyDescent="0.25">
      <c r="A71" s="1" t="s">
        <v>318</v>
      </c>
      <c r="B71" s="2" t="s">
        <v>319</v>
      </c>
      <c r="C71" s="287" t="s">
        <v>320</v>
      </c>
      <c r="D71" s="284"/>
      <c r="E71" s="2" t="s">
        <v>191</v>
      </c>
      <c r="F71" s="37">
        <v>7</v>
      </c>
      <c r="G71" s="66">
        <v>0</v>
      </c>
      <c r="H71" s="37">
        <f t="shared" si="66"/>
        <v>0</v>
      </c>
      <c r="I71" s="37">
        <f t="shared" si="67"/>
        <v>0</v>
      </c>
      <c r="J71" s="37">
        <f t="shared" si="68"/>
        <v>0</v>
      </c>
      <c r="K71" s="67" t="s">
        <v>151</v>
      </c>
      <c r="Z71" s="37">
        <f t="shared" si="69"/>
        <v>0</v>
      </c>
      <c r="AB71" s="37">
        <f t="shared" si="70"/>
        <v>0</v>
      </c>
      <c r="AC71" s="37">
        <f t="shared" si="71"/>
        <v>0</v>
      </c>
      <c r="AD71" s="37">
        <f t="shared" si="72"/>
        <v>0</v>
      </c>
      <c r="AE71" s="37">
        <f t="shared" si="73"/>
        <v>0</v>
      </c>
      <c r="AF71" s="37">
        <f t="shared" si="74"/>
        <v>0</v>
      </c>
      <c r="AG71" s="37">
        <f t="shared" si="75"/>
        <v>0</v>
      </c>
      <c r="AH71" s="37">
        <f t="shared" si="76"/>
        <v>0</v>
      </c>
      <c r="AI71" s="49" t="s">
        <v>82</v>
      </c>
      <c r="AJ71" s="37">
        <f t="shared" si="77"/>
        <v>0</v>
      </c>
      <c r="AK71" s="37">
        <f t="shared" si="78"/>
        <v>0</v>
      </c>
      <c r="AL71" s="37">
        <f t="shared" si="79"/>
        <v>0</v>
      </c>
      <c r="AN71" s="37">
        <v>21</v>
      </c>
      <c r="AO71" s="37">
        <f>G71*1</f>
        <v>0</v>
      </c>
      <c r="AP71" s="37">
        <f>G71*(1-1)</f>
        <v>0</v>
      </c>
      <c r="AQ71" s="68" t="s">
        <v>174</v>
      </c>
      <c r="AV71" s="37">
        <f t="shared" si="80"/>
        <v>0</v>
      </c>
      <c r="AW71" s="37">
        <f t="shared" si="81"/>
        <v>0</v>
      </c>
      <c r="AX71" s="37">
        <f t="shared" si="82"/>
        <v>0</v>
      </c>
      <c r="AY71" s="68" t="s">
        <v>307</v>
      </c>
      <c r="AZ71" s="68" t="s">
        <v>308</v>
      </c>
      <c r="BA71" s="49" t="s">
        <v>154</v>
      </c>
      <c r="BC71" s="37">
        <f t="shared" si="83"/>
        <v>0</v>
      </c>
      <c r="BD71" s="37">
        <f t="shared" si="84"/>
        <v>0</v>
      </c>
      <c r="BE71" s="37">
        <v>0</v>
      </c>
      <c r="BF71" s="37">
        <f>71</f>
        <v>71</v>
      </c>
      <c r="BH71" s="37">
        <f t="shared" si="85"/>
        <v>0</v>
      </c>
      <c r="BI71" s="37">
        <f t="shared" si="86"/>
        <v>0</v>
      </c>
      <c r="BJ71" s="37">
        <f t="shared" si="87"/>
        <v>0</v>
      </c>
      <c r="BK71" s="37"/>
      <c r="BL71" s="37">
        <v>766</v>
      </c>
      <c r="BW71" s="37">
        <v>21</v>
      </c>
      <c r="BX71" s="3" t="s">
        <v>320</v>
      </c>
    </row>
    <row r="72" spans="1:76" x14ac:dyDescent="0.25">
      <c r="A72" s="1" t="s">
        <v>321</v>
      </c>
      <c r="B72" s="2" t="s">
        <v>322</v>
      </c>
      <c r="C72" s="287" t="s">
        <v>323</v>
      </c>
      <c r="D72" s="284"/>
      <c r="E72" s="2" t="s">
        <v>191</v>
      </c>
      <c r="F72" s="37">
        <v>44</v>
      </c>
      <c r="G72" s="66">
        <v>0</v>
      </c>
      <c r="H72" s="37">
        <f t="shared" si="66"/>
        <v>0</v>
      </c>
      <c r="I72" s="37">
        <f t="shared" si="67"/>
        <v>0</v>
      </c>
      <c r="J72" s="37">
        <f t="shared" si="68"/>
        <v>0</v>
      </c>
      <c r="K72" s="67" t="s">
        <v>151</v>
      </c>
      <c r="Z72" s="37">
        <f t="shared" si="69"/>
        <v>0</v>
      </c>
      <c r="AB72" s="37">
        <f t="shared" si="70"/>
        <v>0</v>
      </c>
      <c r="AC72" s="37">
        <f t="shared" si="71"/>
        <v>0</v>
      </c>
      <c r="AD72" s="37">
        <f t="shared" si="72"/>
        <v>0</v>
      </c>
      <c r="AE72" s="37">
        <f t="shared" si="73"/>
        <v>0</v>
      </c>
      <c r="AF72" s="37">
        <f t="shared" si="74"/>
        <v>0</v>
      </c>
      <c r="AG72" s="37">
        <f t="shared" si="75"/>
        <v>0</v>
      </c>
      <c r="AH72" s="37">
        <f t="shared" si="76"/>
        <v>0</v>
      </c>
      <c r="AI72" s="49" t="s">
        <v>82</v>
      </c>
      <c r="AJ72" s="37">
        <f t="shared" si="77"/>
        <v>0</v>
      </c>
      <c r="AK72" s="37">
        <f t="shared" si="78"/>
        <v>0</v>
      </c>
      <c r="AL72" s="37">
        <f t="shared" si="79"/>
        <v>0</v>
      </c>
      <c r="AN72" s="37">
        <v>21</v>
      </c>
      <c r="AO72" s="37">
        <f>G72*1</f>
        <v>0</v>
      </c>
      <c r="AP72" s="37">
        <f>G72*(1-1)</f>
        <v>0</v>
      </c>
      <c r="AQ72" s="68" t="s">
        <v>174</v>
      </c>
      <c r="AV72" s="37">
        <f t="shared" si="80"/>
        <v>0</v>
      </c>
      <c r="AW72" s="37">
        <f t="shared" si="81"/>
        <v>0</v>
      </c>
      <c r="AX72" s="37">
        <f t="shared" si="82"/>
        <v>0</v>
      </c>
      <c r="AY72" s="68" t="s">
        <v>307</v>
      </c>
      <c r="AZ72" s="68" t="s">
        <v>308</v>
      </c>
      <c r="BA72" s="49" t="s">
        <v>154</v>
      </c>
      <c r="BC72" s="37">
        <f t="shared" si="83"/>
        <v>0</v>
      </c>
      <c r="BD72" s="37">
        <f t="shared" si="84"/>
        <v>0</v>
      </c>
      <c r="BE72" s="37">
        <v>0</v>
      </c>
      <c r="BF72" s="37">
        <f>72</f>
        <v>72</v>
      </c>
      <c r="BH72" s="37">
        <f t="shared" si="85"/>
        <v>0</v>
      </c>
      <c r="BI72" s="37">
        <f t="shared" si="86"/>
        <v>0</v>
      </c>
      <c r="BJ72" s="37">
        <f t="shared" si="87"/>
        <v>0</v>
      </c>
      <c r="BK72" s="37"/>
      <c r="BL72" s="37">
        <v>766</v>
      </c>
      <c r="BW72" s="37">
        <v>21</v>
      </c>
      <c r="BX72" s="3" t="s">
        <v>323</v>
      </c>
    </row>
    <row r="73" spans="1:76" x14ac:dyDescent="0.25">
      <c r="A73" s="1" t="s">
        <v>324</v>
      </c>
      <c r="B73" s="2" t="s">
        <v>325</v>
      </c>
      <c r="C73" s="287" t="s">
        <v>326</v>
      </c>
      <c r="D73" s="284"/>
      <c r="E73" s="2" t="s">
        <v>191</v>
      </c>
      <c r="F73" s="37">
        <v>51</v>
      </c>
      <c r="G73" s="66">
        <v>0</v>
      </c>
      <c r="H73" s="37">
        <f t="shared" si="66"/>
        <v>0</v>
      </c>
      <c r="I73" s="37">
        <f t="shared" si="67"/>
        <v>0</v>
      </c>
      <c r="J73" s="37">
        <f t="shared" si="68"/>
        <v>0</v>
      </c>
      <c r="K73" s="67" t="s">
        <v>151</v>
      </c>
      <c r="Z73" s="37">
        <f t="shared" si="69"/>
        <v>0</v>
      </c>
      <c r="AB73" s="37">
        <f t="shared" si="70"/>
        <v>0</v>
      </c>
      <c r="AC73" s="37">
        <f t="shared" si="71"/>
        <v>0</v>
      </c>
      <c r="AD73" s="37">
        <f t="shared" si="72"/>
        <v>0</v>
      </c>
      <c r="AE73" s="37">
        <f t="shared" si="73"/>
        <v>0</v>
      </c>
      <c r="AF73" s="37">
        <f t="shared" si="74"/>
        <v>0</v>
      </c>
      <c r="AG73" s="37">
        <f t="shared" si="75"/>
        <v>0</v>
      </c>
      <c r="AH73" s="37">
        <f t="shared" si="76"/>
        <v>0</v>
      </c>
      <c r="AI73" s="49" t="s">
        <v>82</v>
      </c>
      <c r="AJ73" s="37">
        <f t="shared" si="77"/>
        <v>0</v>
      </c>
      <c r="AK73" s="37">
        <f t="shared" si="78"/>
        <v>0</v>
      </c>
      <c r="AL73" s="37">
        <f t="shared" si="79"/>
        <v>0</v>
      </c>
      <c r="AN73" s="37">
        <v>21</v>
      </c>
      <c r="AO73" s="37">
        <f>G73*0</f>
        <v>0</v>
      </c>
      <c r="AP73" s="37">
        <f>G73*(1-0)</f>
        <v>0</v>
      </c>
      <c r="AQ73" s="68" t="s">
        <v>174</v>
      </c>
      <c r="AV73" s="37">
        <f t="shared" si="80"/>
        <v>0</v>
      </c>
      <c r="AW73" s="37">
        <f t="shared" si="81"/>
        <v>0</v>
      </c>
      <c r="AX73" s="37">
        <f t="shared" si="82"/>
        <v>0</v>
      </c>
      <c r="AY73" s="68" t="s">
        <v>307</v>
      </c>
      <c r="AZ73" s="68" t="s">
        <v>308</v>
      </c>
      <c r="BA73" s="49" t="s">
        <v>154</v>
      </c>
      <c r="BC73" s="37">
        <f t="shared" si="83"/>
        <v>0</v>
      </c>
      <c r="BD73" s="37">
        <f t="shared" si="84"/>
        <v>0</v>
      </c>
      <c r="BE73" s="37">
        <v>0</v>
      </c>
      <c r="BF73" s="37">
        <f>73</f>
        <v>73</v>
      </c>
      <c r="BH73" s="37">
        <f t="shared" si="85"/>
        <v>0</v>
      </c>
      <c r="BI73" s="37">
        <f t="shared" si="86"/>
        <v>0</v>
      </c>
      <c r="BJ73" s="37">
        <f t="shared" si="87"/>
        <v>0</v>
      </c>
      <c r="BK73" s="37"/>
      <c r="BL73" s="37">
        <v>766</v>
      </c>
      <c r="BW73" s="37">
        <v>21</v>
      </c>
      <c r="BX73" s="3" t="s">
        <v>326</v>
      </c>
    </row>
    <row r="74" spans="1:76" x14ac:dyDescent="0.25">
      <c r="A74" s="1" t="s">
        <v>327</v>
      </c>
      <c r="B74" s="2" t="s">
        <v>328</v>
      </c>
      <c r="C74" s="287" t="s">
        <v>329</v>
      </c>
      <c r="D74" s="284"/>
      <c r="E74" s="2" t="s">
        <v>191</v>
      </c>
      <c r="F74" s="37">
        <v>51</v>
      </c>
      <c r="G74" s="66">
        <v>0</v>
      </c>
      <c r="H74" s="37">
        <f t="shared" si="66"/>
        <v>0</v>
      </c>
      <c r="I74" s="37">
        <f t="shared" si="67"/>
        <v>0</v>
      </c>
      <c r="J74" s="37">
        <f t="shared" si="68"/>
        <v>0</v>
      </c>
      <c r="K74" s="67" t="s">
        <v>151</v>
      </c>
      <c r="Z74" s="37">
        <f t="shared" si="69"/>
        <v>0</v>
      </c>
      <c r="AB74" s="37">
        <f t="shared" si="70"/>
        <v>0</v>
      </c>
      <c r="AC74" s="37">
        <f t="shared" si="71"/>
        <v>0</v>
      </c>
      <c r="AD74" s="37">
        <f t="shared" si="72"/>
        <v>0</v>
      </c>
      <c r="AE74" s="37">
        <f t="shared" si="73"/>
        <v>0</v>
      </c>
      <c r="AF74" s="37">
        <f t="shared" si="74"/>
        <v>0</v>
      </c>
      <c r="AG74" s="37">
        <f t="shared" si="75"/>
        <v>0</v>
      </c>
      <c r="AH74" s="37">
        <f t="shared" si="76"/>
        <v>0</v>
      </c>
      <c r="AI74" s="49" t="s">
        <v>82</v>
      </c>
      <c r="AJ74" s="37">
        <f t="shared" si="77"/>
        <v>0</v>
      </c>
      <c r="AK74" s="37">
        <f t="shared" si="78"/>
        <v>0</v>
      </c>
      <c r="AL74" s="37">
        <f t="shared" si="79"/>
        <v>0</v>
      </c>
      <c r="AN74" s="37">
        <v>21</v>
      </c>
      <c r="AO74" s="37">
        <f>G74*1</f>
        <v>0</v>
      </c>
      <c r="AP74" s="37">
        <f>G74*(1-1)</f>
        <v>0</v>
      </c>
      <c r="AQ74" s="68" t="s">
        <v>174</v>
      </c>
      <c r="AV74" s="37">
        <f t="shared" si="80"/>
        <v>0</v>
      </c>
      <c r="AW74" s="37">
        <f t="shared" si="81"/>
        <v>0</v>
      </c>
      <c r="AX74" s="37">
        <f t="shared" si="82"/>
        <v>0</v>
      </c>
      <c r="AY74" s="68" t="s">
        <v>307</v>
      </c>
      <c r="AZ74" s="68" t="s">
        <v>308</v>
      </c>
      <c r="BA74" s="49" t="s">
        <v>154</v>
      </c>
      <c r="BC74" s="37">
        <f t="shared" si="83"/>
        <v>0</v>
      </c>
      <c r="BD74" s="37">
        <f t="shared" si="84"/>
        <v>0</v>
      </c>
      <c r="BE74" s="37">
        <v>0</v>
      </c>
      <c r="BF74" s="37">
        <f>74</f>
        <v>74</v>
      </c>
      <c r="BH74" s="37">
        <f t="shared" si="85"/>
        <v>0</v>
      </c>
      <c r="BI74" s="37">
        <f t="shared" si="86"/>
        <v>0</v>
      </c>
      <c r="BJ74" s="37">
        <f t="shared" si="87"/>
        <v>0</v>
      </c>
      <c r="BK74" s="37"/>
      <c r="BL74" s="37">
        <v>766</v>
      </c>
      <c r="BW74" s="37">
        <v>21</v>
      </c>
      <c r="BX74" s="3" t="s">
        <v>329</v>
      </c>
    </row>
    <row r="75" spans="1:76" x14ac:dyDescent="0.25">
      <c r="A75" s="1" t="s">
        <v>330</v>
      </c>
      <c r="B75" s="2" t="s">
        <v>331</v>
      </c>
      <c r="C75" s="287" t="s">
        <v>332</v>
      </c>
      <c r="D75" s="284"/>
      <c r="E75" s="2" t="s">
        <v>62</v>
      </c>
      <c r="F75" s="37">
        <v>1761.1035999999999</v>
      </c>
      <c r="G75" s="66">
        <v>0</v>
      </c>
      <c r="H75" s="37">
        <f t="shared" si="66"/>
        <v>0</v>
      </c>
      <c r="I75" s="37">
        <f t="shared" si="67"/>
        <v>0</v>
      </c>
      <c r="J75" s="37">
        <f t="shared" si="68"/>
        <v>0</v>
      </c>
      <c r="K75" s="67" t="s">
        <v>151</v>
      </c>
      <c r="Z75" s="37">
        <f t="shared" si="69"/>
        <v>0</v>
      </c>
      <c r="AB75" s="37">
        <f t="shared" si="70"/>
        <v>0</v>
      </c>
      <c r="AC75" s="37">
        <f t="shared" si="71"/>
        <v>0</v>
      </c>
      <c r="AD75" s="37">
        <f t="shared" si="72"/>
        <v>0</v>
      </c>
      <c r="AE75" s="37">
        <f t="shared" si="73"/>
        <v>0</v>
      </c>
      <c r="AF75" s="37">
        <f t="shared" si="74"/>
        <v>0</v>
      </c>
      <c r="AG75" s="37">
        <f t="shared" si="75"/>
        <v>0</v>
      </c>
      <c r="AH75" s="37">
        <f t="shared" si="76"/>
        <v>0</v>
      </c>
      <c r="AI75" s="49" t="s">
        <v>82</v>
      </c>
      <c r="AJ75" s="37">
        <f t="shared" si="77"/>
        <v>0</v>
      </c>
      <c r="AK75" s="37">
        <f t="shared" si="78"/>
        <v>0</v>
      </c>
      <c r="AL75" s="37">
        <f t="shared" si="79"/>
        <v>0</v>
      </c>
      <c r="AN75" s="37">
        <v>21</v>
      </c>
      <c r="AO75" s="37">
        <f>G75*0</f>
        <v>0</v>
      </c>
      <c r="AP75" s="37">
        <f>G75*(1-0)</f>
        <v>0</v>
      </c>
      <c r="AQ75" s="68" t="s">
        <v>166</v>
      </c>
      <c r="AV75" s="37">
        <f t="shared" si="80"/>
        <v>0</v>
      </c>
      <c r="AW75" s="37">
        <f t="shared" si="81"/>
        <v>0</v>
      </c>
      <c r="AX75" s="37">
        <f t="shared" si="82"/>
        <v>0</v>
      </c>
      <c r="AY75" s="68" t="s">
        <v>307</v>
      </c>
      <c r="AZ75" s="68" t="s">
        <v>308</v>
      </c>
      <c r="BA75" s="49" t="s">
        <v>154</v>
      </c>
      <c r="BC75" s="37">
        <f t="shared" si="83"/>
        <v>0</v>
      </c>
      <c r="BD75" s="37">
        <f t="shared" si="84"/>
        <v>0</v>
      </c>
      <c r="BE75" s="37">
        <v>0</v>
      </c>
      <c r="BF75" s="37">
        <f>75</f>
        <v>75</v>
      </c>
      <c r="BH75" s="37">
        <f t="shared" si="85"/>
        <v>0</v>
      </c>
      <c r="BI75" s="37">
        <f t="shared" si="86"/>
        <v>0</v>
      </c>
      <c r="BJ75" s="37">
        <f t="shared" si="87"/>
        <v>0</v>
      </c>
      <c r="BK75" s="37"/>
      <c r="BL75" s="37">
        <v>766</v>
      </c>
      <c r="BW75" s="37">
        <v>21</v>
      </c>
      <c r="BX75" s="3" t="s">
        <v>332</v>
      </c>
    </row>
    <row r="76" spans="1:76" x14ac:dyDescent="0.25">
      <c r="A76" s="61" t="s">
        <v>4</v>
      </c>
      <c r="B76" s="62" t="s">
        <v>100</v>
      </c>
      <c r="C76" s="370" t="s">
        <v>101</v>
      </c>
      <c r="D76" s="371"/>
      <c r="E76" s="63" t="s">
        <v>74</v>
      </c>
      <c r="F76" s="63" t="s">
        <v>74</v>
      </c>
      <c r="G76" s="64" t="s">
        <v>74</v>
      </c>
      <c r="H76" s="43">
        <f>SUM(H77:H82)</f>
        <v>0</v>
      </c>
      <c r="I76" s="43">
        <f>SUM(I77:I82)</f>
        <v>0</v>
      </c>
      <c r="J76" s="43">
        <f>SUM(J77:J82)</f>
        <v>0</v>
      </c>
      <c r="K76" s="65" t="s">
        <v>4</v>
      </c>
      <c r="AI76" s="49" t="s">
        <v>82</v>
      </c>
      <c r="AS76" s="43">
        <f>SUM(AJ77:AJ82)</f>
        <v>0</v>
      </c>
      <c r="AT76" s="43">
        <f>SUM(AK77:AK82)</f>
        <v>0</v>
      </c>
      <c r="AU76" s="43">
        <f>SUM(AL77:AL82)</f>
        <v>0</v>
      </c>
    </row>
    <row r="77" spans="1:76" x14ac:dyDescent="0.25">
      <c r="A77" s="1" t="s">
        <v>333</v>
      </c>
      <c r="B77" s="2" t="s">
        <v>334</v>
      </c>
      <c r="C77" s="287" t="s">
        <v>335</v>
      </c>
      <c r="D77" s="284"/>
      <c r="E77" s="2" t="s">
        <v>150</v>
      </c>
      <c r="F77" s="37">
        <v>404.7</v>
      </c>
      <c r="G77" s="66">
        <v>0</v>
      </c>
      <c r="H77" s="37">
        <f t="shared" ref="H77:H82" si="88">F77*AO77</f>
        <v>0</v>
      </c>
      <c r="I77" s="37">
        <f t="shared" ref="I77:I82" si="89">F77*AP77</f>
        <v>0</v>
      </c>
      <c r="J77" s="37">
        <f t="shared" ref="J77:J82" si="90">F77*G77</f>
        <v>0</v>
      </c>
      <c r="K77" s="67" t="s">
        <v>151</v>
      </c>
      <c r="Z77" s="37">
        <f t="shared" ref="Z77:Z82" si="91">IF(AQ77="5",BJ77,0)</f>
        <v>0</v>
      </c>
      <c r="AB77" s="37">
        <f t="shared" ref="AB77:AB82" si="92">IF(AQ77="1",BH77,0)</f>
        <v>0</v>
      </c>
      <c r="AC77" s="37">
        <f t="shared" ref="AC77:AC82" si="93">IF(AQ77="1",BI77,0)</f>
        <v>0</v>
      </c>
      <c r="AD77" s="37">
        <f t="shared" ref="AD77:AD82" si="94">IF(AQ77="7",BH77,0)</f>
        <v>0</v>
      </c>
      <c r="AE77" s="37">
        <f t="shared" ref="AE77:AE82" si="95">IF(AQ77="7",BI77,0)</f>
        <v>0</v>
      </c>
      <c r="AF77" s="37">
        <f t="shared" ref="AF77:AF82" si="96">IF(AQ77="2",BH77,0)</f>
        <v>0</v>
      </c>
      <c r="AG77" s="37">
        <f t="shared" ref="AG77:AG82" si="97">IF(AQ77="2",BI77,0)</f>
        <v>0</v>
      </c>
      <c r="AH77" s="37">
        <f t="shared" ref="AH77:AH82" si="98">IF(AQ77="0",BJ77,0)</f>
        <v>0</v>
      </c>
      <c r="AI77" s="49" t="s">
        <v>82</v>
      </c>
      <c r="AJ77" s="37">
        <f t="shared" ref="AJ77:AJ82" si="99">IF(AN77=0,J77,0)</f>
        <v>0</v>
      </c>
      <c r="AK77" s="37">
        <f t="shared" ref="AK77:AK82" si="100">IF(AN77=12,J77,0)</f>
        <v>0</v>
      </c>
      <c r="AL77" s="37">
        <f t="shared" ref="AL77:AL82" si="101">IF(AN77=21,J77,0)</f>
        <v>0</v>
      </c>
      <c r="AN77" s="37">
        <v>21</v>
      </c>
      <c r="AO77" s="37">
        <f>G77*0</f>
        <v>0</v>
      </c>
      <c r="AP77" s="37">
        <f>G77*(1-0)</f>
        <v>0</v>
      </c>
      <c r="AQ77" s="68" t="s">
        <v>174</v>
      </c>
      <c r="AV77" s="37">
        <f t="shared" ref="AV77:AV82" si="102">AW77+AX77</f>
        <v>0</v>
      </c>
      <c r="AW77" s="37">
        <f t="shared" ref="AW77:AW82" si="103">F77*AO77</f>
        <v>0</v>
      </c>
      <c r="AX77" s="37">
        <f t="shared" ref="AX77:AX82" si="104">F77*AP77</f>
        <v>0</v>
      </c>
      <c r="AY77" s="68" t="s">
        <v>336</v>
      </c>
      <c r="AZ77" s="68" t="s">
        <v>337</v>
      </c>
      <c r="BA77" s="49" t="s">
        <v>154</v>
      </c>
      <c r="BC77" s="37">
        <f t="shared" ref="BC77:BC82" si="105">AW77+AX77</f>
        <v>0</v>
      </c>
      <c r="BD77" s="37">
        <f t="shared" ref="BD77:BD82" si="106">G77/(100-BE77)*100</f>
        <v>0</v>
      </c>
      <c r="BE77" s="37">
        <v>0</v>
      </c>
      <c r="BF77" s="37">
        <f>77</f>
        <v>77</v>
      </c>
      <c r="BH77" s="37">
        <f t="shared" ref="BH77:BH82" si="107">F77*AO77</f>
        <v>0</v>
      </c>
      <c r="BI77" s="37">
        <f t="shared" ref="BI77:BI82" si="108">F77*AP77</f>
        <v>0</v>
      </c>
      <c r="BJ77" s="37">
        <f t="shared" ref="BJ77:BJ82" si="109">F77*G77</f>
        <v>0</v>
      </c>
      <c r="BK77" s="37"/>
      <c r="BL77" s="37">
        <v>771</v>
      </c>
      <c r="BW77" s="37">
        <v>21</v>
      </c>
      <c r="BX77" s="3" t="s">
        <v>335</v>
      </c>
    </row>
    <row r="78" spans="1:76" x14ac:dyDescent="0.25">
      <c r="A78" s="1" t="s">
        <v>338</v>
      </c>
      <c r="B78" s="2" t="s">
        <v>339</v>
      </c>
      <c r="C78" s="287" t="s">
        <v>340</v>
      </c>
      <c r="D78" s="284"/>
      <c r="E78" s="2" t="s">
        <v>150</v>
      </c>
      <c r="F78" s="37">
        <v>404.7</v>
      </c>
      <c r="G78" s="66">
        <v>0</v>
      </c>
      <c r="H78" s="37">
        <f t="shared" si="88"/>
        <v>0</v>
      </c>
      <c r="I78" s="37">
        <f t="shared" si="89"/>
        <v>0</v>
      </c>
      <c r="J78" s="37">
        <f t="shared" si="90"/>
        <v>0</v>
      </c>
      <c r="K78" s="67" t="s">
        <v>151</v>
      </c>
      <c r="Z78" s="37">
        <f t="shared" si="91"/>
        <v>0</v>
      </c>
      <c r="AB78" s="37">
        <f t="shared" si="92"/>
        <v>0</v>
      </c>
      <c r="AC78" s="37">
        <f t="shared" si="93"/>
        <v>0</v>
      </c>
      <c r="AD78" s="37">
        <f t="shared" si="94"/>
        <v>0</v>
      </c>
      <c r="AE78" s="37">
        <f t="shared" si="95"/>
        <v>0</v>
      </c>
      <c r="AF78" s="37">
        <f t="shared" si="96"/>
        <v>0</v>
      </c>
      <c r="AG78" s="37">
        <f t="shared" si="97"/>
        <v>0</v>
      </c>
      <c r="AH78" s="37">
        <f t="shared" si="98"/>
        <v>0</v>
      </c>
      <c r="AI78" s="49" t="s">
        <v>82</v>
      </c>
      <c r="AJ78" s="37">
        <f t="shared" si="99"/>
        <v>0</v>
      </c>
      <c r="AK78" s="37">
        <f t="shared" si="100"/>
        <v>0</v>
      </c>
      <c r="AL78" s="37">
        <f t="shared" si="101"/>
        <v>0</v>
      </c>
      <c r="AN78" s="37">
        <v>21</v>
      </c>
      <c r="AO78" s="37">
        <f>G78*0.477365492</f>
        <v>0</v>
      </c>
      <c r="AP78" s="37">
        <f>G78*(1-0.477365492)</f>
        <v>0</v>
      </c>
      <c r="AQ78" s="68" t="s">
        <v>174</v>
      </c>
      <c r="AV78" s="37">
        <f t="shared" si="102"/>
        <v>0</v>
      </c>
      <c r="AW78" s="37">
        <f t="shared" si="103"/>
        <v>0</v>
      </c>
      <c r="AX78" s="37">
        <f t="shared" si="104"/>
        <v>0</v>
      </c>
      <c r="AY78" s="68" t="s">
        <v>336</v>
      </c>
      <c r="AZ78" s="68" t="s">
        <v>337</v>
      </c>
      <c r="BA78" s="49" t="s">
        <v>154</v>
      </c>
      <c r="BC78" s="37">
        <f t="shared" si="105"/>
        <v>0</v>
      </c>
      <c r="BD78" s="37">
        <f t="shared" si="106"/>
        <v>0</v>
      </c>
      <c r="BE78" s="37">
        <v>0</v>
      </c>
      <c r="BF78" s="37">
        <f>78</f>
        <v>78</v>
      </c>
      <c r="BH78" s="37">
        <f t="shared" si="107"/>
        <v>0</v>
      </c>
      <c r="BI78" s="37">
        <f t="shared" si="108"/>
        <v>0</v>
      </c>
      <c r="BJ78" s="37">
        <f t="shared" si="109"/>
        <v>0</v>
      </c>
      <c r="BK78" s="37"/>
      <c r="BL78" s="37">
        <v>771</v>
      </c>
      <c r="BW78" s="37">
        <v>21</v>
      </c>
      <c r="BX78" s="3" t="s">
        <v>340</v>
      </c>
    </row>
    <row r="79" spans="1:76" x14ac:dyDescent="0.25">
      <c r="A79" s="1" t="s">
        <v>341</v>
      </c>
      <c r="B79" s="2" t="s">
        <v>342</v>
      </c>
      <c r="C79" s="287" t="s">
        <v>343</v>
      </c>
      <c r="D79" s="284"/>
      <c r="E79" s="2" t="s">
        <v>150</v>
      </c>
      <c r="F79" s="37">
        <v>404.7</v>
      </c>
      <c r="G79" s="66">
        <v>0</v>
      </c>
      <c r="H79" s="37">
        <f t="shared" si="88"/>
        <v>0</v>
      </c>
      <c r="I79" s="37">
        <f t="shared" si="89"/>
        <v>0</v>
      </c>
      <c r="J79" s="37">
        <f t="shared" si="90"/>
        <v>0</v>
      </c>
      <c r="K79" s="67" t="s">
        <v>151</v>
      </c>
      <c r="Z79" s="37">
        <f t="shared" si="91"/>
        <v>0</v>
      </c>
      <c r="AB79" s="37">
        <f t="shared" si="92"/>
        <v>0</v>
      </c>
      <c r="AC79" s="37">
        <f t="shared" si="93"/>
        <v>0</v>
      </c>
      <c r="AD79" s="37">
        <f t="shared" si="94"/>
        <v>0</v>
      </c>
      <c r="AE79" s="37">
        <f t="shared" si="95"/>
        <v>0</v>
      </c>
      <c r="AF79" s="37">
        <f t="shared" si="96"/>
        <v>0</v>
      </c>
      <c r="AG79" s="37">
        <f t="shared" si="97"/>
        <v>0</v>
      </c>
      <c r="AH79" s="37">
        <f t="shared" si="98"/>
        <v>0</v>
      </c>
      <c r="AI79" s="49" t="s">
        <v>82</v>
      </c>
      <c r="AJ79" s="37">
        <f t="shared" si="99"/>
        <v>0</v>
      </c>
      <c r="AK79" s="37">
        <f t="shared" si="100"/>
        <v>0</v>
      </c>
      <c r="AL79" s="37">
        <f t="shared" si="101"/>
        <v>0</v>
      </c>
      <c r="AN79" s="37">
        <v>21</v>
      </c>
      <c r="AO79" s="37">
        <f>G79*0</f>
        <v>0</v>
      </c>
      <c r="AP79" s="37">
        <f>G79*(1-0)</f>
        <v>0</v>
      </c>
      <c r="AQ79" s="68" t="s">
        <v>174</v>
      </c>
      <c r="AV79" s="37">
        <f t="shared" si="102"/>
        <v>0</v>
      </c>
      <c r="AW79" s="37">
        <f t="shared" si="103"/>
        <v>0</v>
      </c>
      <c r="AX79" s="37">
        <f t="shared" si="104"/>
        <v>0</v>
      </c>
      <c r="AY79" s="68" t="s">
        <v>336</v>
      </c>
      <c r="AZ79" s="68" t="s">
        <v>337</v>
      </c>
      <c r="BA79" s="49" t="s">
        <v>154</v>
      </c>
      <c r="BC79" s="37">
        <f t="shared" si="105"/>
        <v>0</v>
      </c>
      <c r="BD79" s="37">
        <f t="shared" si="106"/>
        <v>0</v>
      </c>
      <c r="BE79" s="37">
        <v>0</v>
      </c>
      <c r="BF79" s="37">
        <f>79</f>
        <v>79</v>
      </c>
      <c r="BH79" s="37">
        <f t="shared" si="107"/>
        <v>0</v>
      </c>
      <c r="BI79" s="37">
        <f t="shared" si="108"/>
        <v>0</v>
      </c>
      <c r="BJ79" s="37">
        <f t="shared" si="109"/>
        <v>0</v>
      </c>
      <c r="BK79" s="37"/>
      <c r="BL79" s="37">
        <v>771</v>
      </c>
      <c r="BW79" s="37">
        <v>21</v>
      </c>
      <c r="BX79" s="3" t="s">
        <v>343</v>
      </c>
    </row>
    <row r="80" spans="1:76" x14ac:dyDescent="0.25">
      <c r="A80" s="1" t="s">
        <v>344</v>
      </c>
      <c r="B80" s="2" t="s">
        <v>345</v>
      </c>
      <c r="C80" s="287" t="s">
        <v>346</v>
      </c>
      <c r="D80" s="284"/>
      <c r="E80" s="2" t="s">
        <v>150</v>
      </c>
      <c r="F80" s="37">
        <v>408.34255000000002</v>
      </c>
      <c r="G80" s="66">
        <v>0</v>
      </c>
      <c r="H80" s="37">
        <f t="shared" si="88"/>
        <v>0</v>
      </c>
      <c r="I80" s="37">
        <f t="shared" si="89"/>
        <v>0</v>
      </c>
      <c r="J80" s="37">
        <f t="shared" si="90"/>
        <v>0</v>
      </c>
      <c r="K80" s="67" t="s">
        <v>151</v>
      </c>
      <c r="Z80" s="37">
        <f t="shared" si="91"/>
        <v>0</v>
      </c>
      <c r="AB80" s="37">
        <f t="shared" si="92"/>
        <v>0</v>
      </c>
      <c r="AC80" s="37">
        <f t="shared" si="93"/>
        <v>0</v>
      </c>
      <c r="AD80" s="37">
        <f t="shared" si="94"/>
        <v>0</v>
      </c>
      <c r="AE80" s="37">
        <f t="shared" si="95"/>
        <v>0</v>
      </c>
      <c r="AF80" s="37">
        <f t="shared" si="96"/>
        <v>0</v>
      </c>
      <c r="AG80" s="37">
        <f t="shared" si="97"/>
        <v>0</v>
      </c>
      <c r="AH80" s="37">
        <f t="shared" si="98"/>
        <v>0</v>
      </c>
      <c r="AI80" s="49" t="s">
        <v>82</v>
      </c>
      <c r="AJ80" s="37">
        <f t="shared" si="99"/>
        <v>0</v>
      </c>
      <c r="AK80" s="37">
        <f t="shared" si="100"/>
        <v>0</v>
      </c>
      <c r="AL80" s="37">
        <f t="shared" si="101"/>
        <v>0</v>
      </c>
      <c r="AN80" s="37">
        <v>21</v>
      </c>
      <c r="AO80" s="37">
        <f>G80*1</f>
        <v>0</v>
      </c>
      <c r="AP80" s="37">
        <f>G80*(1-1)</f>
        <v>0</v>
      </c>
      <c r="AQ80" s="68" t="s">
        <v>174</v>
      </c>
      <c r="AV80" s="37">
        <f t="shared" si="102"/>
        <v>0</v>
      </c>
      <c r="AW80" s="37">
        <f t="shared" si="103"/>
        <v>0</v>
      </c>
      <c r="AX80" s="37">
        <f t="shared" si="104"/>
        <v>0</v>
      </c>
      <c r="AY80" s="68" t="s">
        <v>336</v>
      </c>
      <c r="AZ80" s="68" t="s">
        <v>337</v>
      </c>
      <c r="BA80" s="49" t="s">
        <v>154</v>
      </c>
      <c r="BC80" s="37">
        <f t="shared" si="105"/>
        <v>0</v>
      </c>
      <c r="BD80" s="37">
        <f t="shared" si="106"/>
        <v>0</v>
      </c>
      <c r="BE80" s="37">
        <v>0</v>
      </c>
      <c r="BF80" s="37">
        <f>80</f>
        <v>80</v>
      </c>
      <c r="BH80" s="37">
        <f t="shared" si="107"/>
        <v>0</v>
      </c>
      <c r="BI80" s="37">
        <f t="shared" si="108"/>
        <v>0</v>
      </c>
      <c r="BJ80" s="37">
        <f t="shared" si="109"/>
        <v>0</v>
      </c>
      <c r="BK80" s="37"/>
      <c r="BL80" s="37">
        <v>771</v>
      </c>
      <c r="BW80" s="37">
        <v>21</v>
      </c>
      <c r="BX80" s="3" t="s">
        <v>346</v>
      </c>
    </row>
    <row r="81" spans="1:76" x14ac:dyDescent="0.25">
      <c r="A81" s="1" t="s">
        <v>347</v>
      </c>
      <c r="B81" s="2" t="s">
        <v>348</v>
      </c>
      <c r="C81" s="287" t="s">
        <v>349</v>
      </c>
      <c r="D81" s="284"/>
      <c r="E81" s="2" t="s">
        <v>150</v>
      </c>
      <c r="F81" s="37">
        <v>1.0115000000000001</v>
      </c>
      <c r="G81" s="66">
        <v>0</v>
      </c>
      <c r="H81" s="37">
        <f t="shared" si="88"/>
        <v>0</v>
      </c>
      <c r="I81" s="37">
        <f t="shared" si="89"/>
        <v>0</v>
      </c>
      <c r="J81" s="37">
        <f t="shared" si="90"/>
        <v>0</v>
      </c>
      <c r="K81" s="67" t="s">
        <v>151</v>
      </c>
      <c r="Z81" s="37">
        <f t="shared" si="91"/>
        <v>0</v>
      </c>
      <c r="AB81" s="37">
        <f t="shared" si="92"/>
        <v>0</v>
      </c>
      <c r="AC81" s="37">
        <f t="shared" si="93"/>
        <v>0</v>
      </c>
      <c r="AD81" s="37">
        <f t="shared" si="94"/>
        <v>0</v>
      </c>
      <c r="AE81" s="37">
        <f t="shared" si="95"/>
        <v>0</v>
      </c>
      <c r="AF81" s="37">
        <f t="shared" si="96"/>
        <v>0</v>
      </c>
      <c r="AG81" s="37">
        <f t="shared" si="97"/>
        <v>0</v>
      </c>
      <c r="AH81" s="37">
        <f t="shared" si="98"/>
        <v>0</v>
      </c>
      <c r="AI81" s="49" t="s">
        <v>82</v>
      </c>
      <c r="AJ81" s="37">
        <f t="shared" si="99"/>
        <v>0</v>
      </c>
      <c r="AK81" s="37">
        <f t="shared" si="100"/>
        <v>0</v>
      </c>
      <c r="AL81" s="37">
        <f t="shared" si="101"/>
        <v>0</v>
      </c>
      <c r="AN81" s="37">
        <v>21</v>
      </c>
      <c r="AO81" s="37">
        <f>G81*1</f>
        <v>0</v>
      </c>
      <c r="AP81" s="37">
        <f>G81*(1-1)</f>
        <v>0</v>
      </c>
      <c r="AQ81" s="68" t="s">
        <v>174</v>
      </c>
      <c r="AV81" s="37">
        <f t="shared" si="102"/>
        <v>0</v>
      </c>
      <c r="AW81" s="37">
        <f t="shared" si="103"/>
        <v>0</v>
      </c>
      <c r="AX81" s="37">
        <f t="shared" si="104"/>
        <v>0</v>
      </c>
      <c r="AY81" s="68" t="s">
        <v>336</v>
      </c>
      <c r="AZ81" s="68" t="s">
        <v>337</v>
      </c>
      <c r="BA81" s="49" t="s">
        <v>154</v>
      </c>
      <c r="BC81" s="37">
        <f t="shared" si="105"/>
        <v>0</v>
      </c>
      <c r="BD81" s="37">
        <f t="shared" si="106"/>
        <v>0</v>
      </c>
      <c r="BE81" s="37">
        <v>0</v>
      </c>
      <c r="BF81" s="37">
        <f>81</f>
        <v>81</v>
      </c>
      <c r="BH81" s="37">
        <f t="shared" si="107"/>
        <v>0</v>
      </c>
      <c r="BI81" s="37">
        <f t="shared" si="108"/>
        <v>0</v>
      </c>
      <c r="BJ81" s="37">
        <f t="shared" si="109"/>
        <v>0</v>
      </c>
      <c r="BK81" s="37"/>
      <c r="BL81" s="37">
        <v>771</v>
      </c>
      <c r="BW81" s="37">
        <v>21</v>
      </c>
      <c r="BX81" s="3" t="s">
        <v>349</v>
      </c>
    </row>
    <row r="82" spans="1:76" x14ac:dyDescent="0.25">
      <c r="A82" s="1" t="s">
        <v>86</v>
      </c>
      <c r="B82" s="2" t="s">
        <v>350</v>
      </c>
      <c r="C82" s="287" t="s">
        <v>351</v>
      </c>
      <c r="D82" s="284"/>
      <c r="E82" s="2" t="s">
        <v>62</v>
      </c>
      <c r="F82" s="37">
        <v>7187.701</v>
      </c>
      <c r="G82" s="66">
        <v>0</v>
      </c>
      <c r="H82" s="37">
        <f t="shared" si="88"/>
        <v>0</v>
      </c>
      <c r="I82" s="37">
        <f t="shared" si="89"/>
        <v>0</v>
      </c>
      <c r="J82" s="37">
        <f t="shared" si="90"/>
        <v>0</v>
      </c>
      <c r="K82" s="67" t="s">
        <v>151</v>
      </c>
      <c r="Z82" s="37">
        <f t="shared" si="91"/>
        <v>0</v>
      </c>
      <c r="AB82" s="37">
        <f t="shared" si="92"/>
        <v>0</v>
      </c>
      <c r="AC82" s="37">
        <f t="shared" si="93"/>
        <v>0</v>
      </c>
      <c r="AD82" s="37">
        <f t="shared" si="94"/>
        <v>0</v>
      </c>
      <c r="AE82" s="37">
        <f t="shared" si="95"/>
        <v>0</v>
      </c>
      <c r="AF82" s="37">
        <f t="shared" si="96"/>
        <v>0</v>
      </c>
      <c r="AG82" s="37">
        <f t="shared" si="97"/>
        <v>0</v>
      </c>
      <c r="AH82" s="37">
        <f t="shared" si="98"/>
        <v>0</v>
      </c>
      <c r="AI82" s="49" t="s">
        <v>82</v>
      </c>
      <c r="AJ82" s="37">
        <f t="shared" si="99"/>
        <v>0</v>
      </c>
      <c r="AK82" s="37">
        <f t="shared" si="100"/>
        <v>0</v>
      </c>
      <c r="AL82" s="37">
        <f t="shared" si="101"/>
        <v>0</v>
      </c>
      <c r="AN82" s="37">
        <v>21</v>
      </c>
      <c r="AO82" s="37">
        <f>G82*0</f>
        <v>0</v>
      </c>
      <c r="AP82" s="37">
        <f>G82*(1-0)</f>
        <v>0</v>
      </c>
      <c r="AQ82" s="68" t="s">
        <v>166</v>
      </c>
      <c r="AV82" s="37">
        <f t="shared" si="102"/>
        <v>0</v>
      </c>
      <c r="AW82" s="37">
        <f t="shared" si="103"/>
        <v>0</v>
      </c>
      <c r="AX82" s="37">
        <f t="shared" si="104"/>
        <v>0</v>
      </c>
      <c r="AY82" s="68" t="s">
        <v>336</v>
      </c>
      <c r="AZ82" s="68" t="s">
        <v>337</v>
      </c>
      <c r="BA82" s="49" t="s">
        <v>154</v>
      </c>
      <c r="BC82" s="37">
        <f t="shared" si="105"/>
        <v>0</v>
      </c>
      <c r="BD82" s="37">
        <f t="shared" si="106"/>
        <v>0</v>
      </c>
      <c r="BE82" s="37">
        <v>0</v>
      </c>
      <c r="BF82" s="37">
        <f>82</f>
        <v>82</v>
      </c>
      <c r="BH82" s="37">
        <f t="shared" si="107"/>
        <v>0</v>
      </c>
      <c r="BI82" s="37">
        <f t="shared" si="108"/>
        <v>0</v>
      </c>
      <c r="BJ82" s="37">
        <f t="shared" si="109"/>
        <v>0</v>
      </c>
      <c r="BK82" s="37"/>
      <c r="BL82" s="37">
        <v>771</v>
      </c>
      <c r="BW82" s="37">
        <v>21</v>
      </c>
      <c r="BX82" s="3" t="s">
        <v>351</v>
      </c>
    </row>
    <row r="83" spans="1:76" x14ac:dyDescent="0.25">
      <c r="A83" s="61" t="s">
        <v>4</v>
      </c>
      <c r="B83" s="62" t="s">
        <v>102</v>
      </c>
      <c r="C83" s="370" t="s">
        <v>103</v>
      </c>
      <c r="D83" s="371"/>
      <c r="E83" s="63" t="s">
        <v>74</v>
      </c>
      <c r="F83" s="63" t="s">
        <v>74</v>
      </c>
      <c r="G83" s="64" t="s">
        <v>74</v>
      </c>
      <c r="H83" s="43">
        <f>SUM(H84:H89)</f>
        <v>0</v>
      </c>
      <c r="I83" s="43">
        <f>SUM(I84:I89)</f>
        <v>0</v>
      </c>
      <c r="J83" s="43">
        <f>SUM(J84:J89)</f>
        <v>0</v>
      </c>
      <c r="K83" s="65" t="s">
        <v>4</v>
      </c>
      <c r="AI83" s="49" t="s">
        <v>82</v>
      </c>
      <c r="AS83" s="43">
        <f>SUM(AJ84:AJ89)</f>
        <v>0</v>
      </c>
      <c r="AT83" s="43">
        <f>SUM(AK84:AK89)</f>
        <v>0</v>
      </c>
      <c r="AU83" s="43">
        <f>SUM(AL84:AL89)</f>
        <v>0</v>
      </c>
    </row>
    <row r="84" spans="1:76" x14ac:dyDescent="0.25">
      <c r="A84" s="1" t="s">
        <v>352</v>
      </c>
      <c r="B84" s="2" t="s">
        <v>353</v>
      </c>
      <c r="C84" s="287" t="s">
        <v>354</v>
      </c>
      <c r="D84" s="284"/>
      <c r="E84" s="2" t="s">
        <v>150</v>
      </c>
      <c r="F84" s="37">
        <v>8.31</v>
      </c>
      <c r="G84" s="66">
        <v>0</v>
      </c>
      <c r="H84" s="37">
        <f t="shared" ref="H84:H89" si="110">F84*AO84</f>
        <v>0</v>
      </c>
      <c r="I84" s="37">
        <f t="shared" ref="I84:I89" si="111">F84*AP84</f>
        <v>0</v>
      </c>
      <c r="J84" s="37">
        <f t="shared" ref="J84:J89" si="112">F84*G84</f>
        <v>0</v>
      </c>
      <c r="K84" s="67" t="s">
        <v>151</v>
      </c>
      <c r="Z84" s="37">
        <f t="shared" ref="Z84:Z89" si="113">IF(AQ84="5",BJ84,0)</f>
        <v>0</v>
      </c>
      <c r="AB84" s="37">
        <f t="shared" ref="AB84:AB89" si="114">IF(AQ84="1",BH84,0)</f>
        <v>0</v>
      </c>
      <c r="AC84" s="37">
        <f t="shared" ref="AC84:AC89" si="115">IF(AQ84="1",BI84,0)</f>
        <v>0</v>
      </c>
      <c r="AD84" s="37">
        <f t="shared" ref="AD84:AD89" si="116">IF(AQ84="7",BH84,0)</f>
        <v>0</v>
      </c>
      <c r="AE84" s="37">
        <f t="shared" ref="AE84:AE89" si="117">IF(AQ84="7",BI84,0)</f>
        <v>0</v>
      </c>
      <c r="AF84" s="37">
        <f t="shared" ref="AF84:AF89" si="118">IF(AQ84="2",BH84,0)</f>
        <v>0</v>
      </c>
      <c r="AG84" s="37">
        <f t="shared" ref="AG84:AG89" si="119">IF(AQ84="2",BI84,0)</f>
        <v>0</v>
      </c>
      <c r="AH84" s="37">
        <f t="shared" ref="AH84:AH89" si="120">IF(AQ84="0",BJ84,0)</f>
        <v>0</v>
      </c>
      <c r="AI84" s="49" t="s">
        <v>82</v>
      </c>
      <c r="AJ84" s="37">
        <f t="shared" ref="AJ84:AJ89" si="121">IF(AN84=0,J84,0)</f>
        <v>0</v>
      </c>
      <c r="AK84" s="37">
        <f t="shared" ref="AK84:AK89" si="122">IF(AN84=12,J84,0)</f>
        <v>0</v>
      </c>
      <c r="AL84" s="37">
        <f t="shared" ref="AL84:AL89" si="123">IF(AN84=21,J84,0)</f>
        <v>0</v>
      </c>
      <c r="AN84" s="37">
        <v>21</v>
      </c>
      <c r="AO84" s="37">
        <f>G84*0.025971306</f>
        <v>0</v>
      </c>
      <c r="AP84" s="37">
        <f>G84*(1-0.025971306)</f>
        <v>0</v>
      </c>
      <c r="AQ84" s="68" t="s">
        <v>174</v>
      </c>
      <c r="AV84" s="37">
        <f t="shared" ref="AV84:AV89" si="124">AW84+AX84</f>
        <v>0</v>
      </c>
      <c r="AW84" s="37">
        <f t="shared" ref="AW84:AW89" si="125">F84*AO84</f>
        <v>0</v>
      </c>
      <c r="AX84" s="37">
        <f t="shared" ref="AX84:AX89" si="126">F84*AP84</f>
        <v>0</v>
      </c>
      <c r="AY84" s="68" t="s">
        <v>355</v>
      </c>
      <c r="AZ84" s="68" t="s">
        <v>356</v>
      </c>
      <c r="BA84" s="49" t="s">
        <v>154</v>
      </c>
      <c r="BC84" s="37">
        <f t="shared" ref="BC84:BC89" si="127">AW84+AX84</f>
        <v>0</v>
      </c>
      <c r="BD84" s="37">
        <f t="shared" ref="BD84:BD89" si="128">G84/(100-BE84)*100</f>
        <v>0</v>
      </c>
      <c r="BE84" s="37">
        <v>0</v>
      </c>
      <c r="BF84" s="37">
        <f>84</f>
        <v>84</v>
      </c>
      <c r="BH84" s="37">
        <f t="shared" ref="BH84:BH89" si="129">F84*AO84</f>
        <v>0</v>
      </c>
      <c r="BI84" s="37">
        <f t="shared" ref="BI84:BI89" si="130">F84*AP84</f>
        <v>0</v>
      </c>
      <c r="BJ84" s="37">
        <f t="shared" ref="BJ84:BJ89" si="131">F84*G84</f>
        <v>0</v>
      </c>
      <c r="BK84" s="37"/>
      <c r="BL84" s="37">
        <v>783</v>
      </c>
      <c r="BW84" s="37">
        <v>21</v>
      </c>
      <c r="BX84" s="3" t="s">
        <v>354</v>
      </c>
    </row>
    <row r="85" spans="1:76" x14ac:dyDescent="0.25">
      <c r="A85" s="1" t="s">
        <v>88</v>
      </c>
      <c r="B85" s="2" t="s">
        <v>357</v>
      </c>
      <c r="C85" s="287" t="s">
        <v>358</v>
      </c>
      <c r="D85" s="284"/>
      <c r="E85" s="2" t="s">
        <v>150</v>
      </c>
      <c r="F85" s="37">
        <v>8.31</v>
      </c>
      <c r="G85" s="66">
        <v>0</v>
      </c>
      <c r="H85" s="37">
        <f t="shared" si="110"/>
        <v>0</v>
      </c>
      <c r="I85" s="37">
        <f t="shared" si="111"/>
        <v>0</v>
      </c>
      <c r="J85" s="37">
        <f t="shared" si="112"/>
        <v>0</v>
      </c>
      <c r="K85" s="67" t="s">
        <v>151</v>
      </c>
      <c r="Z85" s="37">
        <f t="shared" si="113"/>
        <v>0</v>
      </c>
      <c r="AB85" s="37">
        <f t="shared" si="114"/>
        <v>0</v>
      </c>
      <c r="AC85" s="37">
        <f t="shared" si="115"/>
        <v>0</v>
      </c>
      <c r="AD85" s="37">
        <f t="shared" si="116"/>
        <v>0</v>
      </c>
      <c r="AE85" s="37">
        <f t="shared" si="117"/>
        <v>0</v>
      </c>
      <c r="AF85" s="37">
        <f t="shared" si="118"/>
        <v>0</v>
      </c>
      <c r="AG85" s="37">
        <f t="shared" si="119"/>
        <v>0</v>
      </c>
      <c r="AH85" s="37">
        <f t="shared" si="120"/>
        <v>0</v>
      </c>
      <c r="AI85" s="49" t="s">
        <v>82</v>
      </c>
      <c r="AJ85" s="37">
        <f t="shared" si="121"/>
        <v>0</v>
      </c>
      <c r="AK85" s="37">
        <f t="shared" si="122"/>
        <v>0</v>
      </c>
      <c r="AL85" s="37">
        <f t="shared" si="123"/>
        <v>0</v>
      </c>
      <c r="AN85" s="37">
        <v>21</v>
      </c>
      <c r="AO85" s="37">
        <f>G85*0.189655836</f>
        <v>0</v>
      </c>
      <c r="AP85" s="37">
        <f>G85*(1-0.189655836)</f>
        <v>0</v>
      </c>
      <c r="AQ85" s="68" t="s">
        <v>174</v>
      </c>
      <c r="AV85" s="37">
        <f t="shared" si="124"/>
        <v>0</v>
      </c>
      <c r="AW85" s="37">
        <f t="shared" si="125"/>
        <v>0</v>
      </c>
      <c r="AX85" s="37">
        <f t="shared" si="126"/>
        <v>0</v>
      </c>
      <c r="AY85" s="68" t="s">
        <v>355</v>
      </c>
      <c r="AZ85" s="68" t="s">
        <v>356</v>
      </c>
      <c r="BA85" s="49" t="s">
        <v>154</v>
      </c>
      <c r="BC85" s="37">
        <f t="shared" si="127"/>
        <v>0</v>
      </c>
      <c r="BD85" s="37">
        <f t="shared" si="128"/>
        <v>0</v>
      </c>
      <c r="BE85" s="37">
        <v>0</v>
      </c>
      <c r="BF85" s="37">
        <f>85</f>
        <v>85</v>
      </c>
      <c r="BH85" s="37">
        <f t="shared" si="129"/>
        <v>0</v>
      </c>
      <c r="BI85" s="37">
        <f t="shared" si="130"/>
        <v>0</v>
      </c>
      <c r="BJ85" s="37">
        <f t="shared" si="131"/>
        <v>0</v>
      </c>
      <c r="BK85" s="37"/>
      <c r="BL85" s="37">
        <v>783</v>
      </c>
      <c r="BW85" s="37">
        <v>21</v>
      </c>
      <c r="BX85" s="3" t="s">
        <v>358</v>
      </c>
    </row>
    <row r="86" spans="1:76" x14ac:dyDescent="0.25">
      <c r="A86" s="1" t="s">
        <v>359</v>
      </c>
      <c r="B86" s="2" t="s">
        <v>360</v>
      </c>
      <c r="C86" s="287" t="s">
        <v>361</v>
      </c>
      <c r="D86" s="284"/>
      <c r="E86" s="2" t="s">
        <v>150</v>
      </c>
      <c r="F86" s="37">
        <v>82.0505</v>
      </c>
      <c r="G86" s="66">
        <v>0</v>
      </c>
      <c r="H86" s="37">
        <f t="shared" si="110"/>
        <v>0</v>
      </c>
      <c r="I86" s="37">
        <f t="shared" si="111"/>
        <v>0</v>
      </c>
      <c r="J86" s="37">
        <f t="shared" si="112"/>
        <v>0</v>
      </c>
      <c r="K86" s="67" t="s">
        <v>151</v>
      </c>
      <c r="Z86" s="37">
        <f t="shared" si="113"/>
        <v>0</v>
      </c>
      <c r="AB86" s="37">
        <f t="shared" si="114"/>
        <v>0</v>
      </c>
      <c r="AC86" s="37">
        <f t="shared" si="115"/>
        <v>0</v>
      </c>
      <c r="AD86" s="37">
        <f t="shared" si="116"/>
        <v>0</v>
      </c>
      <c r="AE86" s="37">
        <f t="shared" si="117"/>
        <v>0</v>
      </c>
      <c r="AF86" s="37">
        <f t="shared" si="118"/>
        <v>0</v>
      </c>
      <c r="AG86" s="37">
        <f t="shared" si="119"/>
        <v>0</v>
      </c>
      <c r="AH86" s="37">
        <f t="shared" si="120"/>
        <v>0</v>
      </c>
      <c r="AI86" s="49" t="s">
        <v>82</v>
      </c>
      <c r="AJ86" s="37">
        <f t="shared" si="121"/>
        <v>0</v>
      </c>
      <c r="AK86" s="37">
        <f t="shared" si="122"/>
        <v>0</v>
      </c>
      <c r="AL86" s="37">
        <f t="shared" si="123"/>
        <v>0</v>
      </c>
      <c r="AN86" s="37">
        <v>21</v>
      </c>
      <c r="AO86" s="37">
        <f>G86*0.048679157</f>
        <v>0</v>
      </c>
      <c r="AP86" s="37">
        <f>G86*(1-0.048679157)</f>
        <v>0</v>
      </c>
      <c r="AQ86" s="68" t="s">
        <v>174</v>
      </c>
      <c r="AV86" s="37">
        <f t="shared" si="124"/>
        <v>0</v>
      </c>
      <c r="AW86" s="37">
        <f t="shared" si="125"/>
        <v>0</v>
      </c>
      <c r="AX86" s="37">
        <f t="shared" si="126"/>
        <v>0</v>
      </c>
      <c r="AY86" s="68" t="s">
        <v>355</v>
      </c>
      <c r="AZ86" s="68" t="s">
        <v>356</v>
      </c>
      <c r="BA86" s="49" t="s">
        <v>154</v>
      </c>
      <c r="BC86" s="37">
        <f t="shared" si="127"/>
        <v>0</v>
      </c>
      <c r="BD86" s="37">
        <f t="shared" si="128"/>
        <v>0</v>
      </c>
      <c r="BE86" s="37">
        <v>0</v>
      </c>
      <c r="BF86" s="37">
        <f>86</f>
        <v>86</v>
      </c>
      <c r="BH86" s="37">
        <f t="shared" si="129"/>
        <v>0</v>
      </c>
      <c r="BI86" s="37">
        <f t="shared" si="130"/>
        <v>0</v>
      </c>
      <c r="BJ86" s="37">
        <f t="shared" si="131"/>
        <v>0</v>
      </c>
      <c r="BK86" s="37"/>
      <c r="BL86" s="37">
        <v>783</v>
      </c>
      <c r="BW86" s="37">
        <v>21</v>
      </c>
      <c r="BX86" s="3" t="s">
        <v>361</v>
      </c>
    </row>
    <row r="87" spans="1:76" x14ac:dyDescent="0.25">
      <c r="A87" s="1" t="s">
        <v>362</v>
      </c>
      <c r="B87" s="2" t="s">
        <v>363</v>
      </c>
      <c r="C87" s="287" t="s">
        <v>364</v>
      </c>
      <c r="D87" s="284"/>
      <c r="E87" s="2" t="s">
        <v>150</v>
      </c>
      <c r="F87" s="37">
        <v>82.0505</v>
      </c>
      <c r="G87" s="66">
        <v>0</v>
      </c>
      <c r="H87" s="37">
        <f t="shared" si="110"/>
        <v>0</v>
      </c>
      <c r="I87" s="37">
        <f t="shared" si="111"/>
        <v>0</v>
      </c>
      <c r="J87" s="37">
        <f t="shared" si="112"/>
        <v>0</v>
      </c>
      <c r="K87" s="67" t="s">
        <v>151</v>
      </c>
      <c r="Z87" s="37">
        <f t="shared" si="113"/>
        <v>0</v>
      </c>
      <c r="AB87" s="37">
        <f t="shared" si="114"/>
        <v>0</v>
      </c>
      <c r="AC87" s="37">
        <f t="shared" si="115"/>
        <v>0</v>
      </c>
      <c r="AD87" s="37">
        <f t="shared" si="116"/>
        <v>0</v>
      </c>
      <c r="AE87" s="37">
        <f t="shared" si="117"/>
        <v>0</v>
      </c>
      <c r="AF87" s="37">
        <f t="shared" si="118"/>
        <v>0</v>
      </c>
      <c r="AG87" s="37">
        <f t="shared" si="119"/>
        <v>0</v>
      </c>
      <c r="AH87" s="37">
        <f t="shared" si="120"/>
        <v>0</v>
      </c>
      <c r="AI87" s="49" t="s">
        <v>82</v>
      </c>
      <c r="AJ87" s="37">
        <f t="shared" si="121"/>
        <v>0</v>
      </c>
      <c r="AK87" s="37">
        <f t="shared" si="122"/>
        <v>0</v>
      </c>
      <c r="AL87" s="37">
        <f t="shared" si="123"/>
        <v>0</v>
      </c>
      <c r="AN87" s="37">
        <v>21</v>
      </c>
      <c r="AO87" s="37">
        <f>G87*0.196675459</f>
        <v>0</v>
      </c>
      <c r="AP87" s="37">
        <f>G87*(1-0.196675459)</f>
        <v>0</v>
      </c>
      <c r="AQ87" s="68" t="s">
        <v>174</v>
      </c>
      <c r="AV87" s="37">
        <f t="shared" si="124"/>
        <v>0</v>
      </c>
      <c r="AW87" s="37">
        <f t="shared" si="125"/>
        <v>0</v>
      </c>
      <c r="AX87" s="37">
        <f t="shared" si="126"/>
        <v>0</v>
      </c>
      <c r="AY87" s="68" t="s">
        <v>355</v>
      </c>
      <c r="AZ87" s="68" t="s">
        <v>356</v>
      </c>
      <c r="BA87" s="49" t="s">
        <v>154</v>
      </c>
      <c r="BC87" s="37">
        <f t="shared" si="127"/>
        <v>0</v>
      </c>
      <c r="BD87" s="37">
        <f t="shared" si="128"/>
        <v>0</v>
      </c>
      <c r="BE87" s="37">
        <v>0</v>
      </c>
      <c r="BF87" s="37">
        <f>87</f>
        <v>87</v>
      </c>
      <c r="BH87" s="37">
        <f t="shared" si="129"/>
        <v>0</v>
      </c>
      <c r="BI87" s="37">
        <f t="shared" si="130"/>
        <v>0</v>
      </c>
      <c r="BJ87" s="37">
        <f t="shared" si="131"/>
        <v>0</v>
      </c>
      <c r="BK87" s="37"/>
      <c r="BL87" s="37">
        <v>783</v>
      </c>
      <c r="BW87" s="37">
        <v>21</v>
      </c>
      <c r="BX87" s="3" t="s">
        <v>364</v>
      </c>
    </row>
    <row r="88" spans="1:76" x14ac:dyDescent="0.25">
      <c r="A88" s="1" t="s">
        <v>365</v>
      </c>
      <c r="B88" s="2" t="s">
        <v>366</v>
      </c>
      <c r="C88" s="287" t="s">
        <v>367</v>
      </c>
      <c r="D88" s="284"/>
      <c r="E88" s="2" t="s">
        <v>203</v>
      </c>
      <c r="F88" s="37">
        <v>30</v>
      </c>
      <c r="G88" s="66">
        <v>0</v>
      </c>
      <c r="H88" s="37">
        <f t="shared" si="110"/>
        <v>0</v>
      </c>
      <c r="I88" s="37">
        <f t="shared" si="111"/>
        <v>0</v>
      </c>
      <c r="J88" s="37">
        <f t="shared" si="112"/>
        <v>0</v>
      </c>
      <c r="K88" s="67" t="s">
        <v>151</v>
      </c>
      <c r="Z88" s="37">
        <f t="shared" si="113"/>
        <v>0</v>
      </c>
      <c r="AB88" s="37">
        <f t="shared" si="114"/>
        <v>0</v>
      </c>
      <c r="AC88" s="37">
        <f t="shared" si="115"/>
        <v>0</v>
      </c>
      <c r="AD88" s="37">
        <f t="shared" si="116"/>
        <v>0</v>
      </c>
      <c r="AE88" s="37">
        <f t="shared" si="117"/>
        <v>0</v>
      </c>
      <c r="AF88" s="37">
        <f t="shared" si="118"/>
        <v>0</v>
      </c>
      <c r="AG88" s="37">
        <f t="shared" si="119"/>
        <v>0</v>
      </c>
      <c r="AH88" s="37">
        <f t="shared" si="120"/>
        <v>0</v>
      </c>
      <c r="AI88" s="49" t="s">
        <v>82</v>
      </c>
      <c r="AJ88" s="37">
        <f t="shared" si="121"/>
        <v>0</v>
      </c>
      <c r="AK88" s="37">
        <f t="shared" si="122"/>
        <v>0</v>
      </c>
      <c r="AL88" s="37">
        <f t="shared" si="123"/>
        <v>0</v>
      </c>
      <c r="AN88" s="37">
        <v>21</v>
      </c>
      <c r="AO88" s="37">
        <f>G88*0.210365854</f>
        <v>0</v>
      </c>
      <c r="AP88" s="37">
        <f>G88*(1-0.210365854)</f>
        <v>0</v>
      </c>
      <c r="AQ88" s="68" t="s">
        <v>174</v>
      </c>
      <c r="AV88" s="37">
        <f t="shared" si="124"/>
        <v>0</v>
      </c>
      <c r="AW88" s="37">
        <f t="shared" si="125"/>
        <v>0</v>
      </c>
      <c r="AX88" s="37">
        <f t="shared" si="126"/>
        <v>0</v>
      </c>
      <c r="AY88" s="68" t="s">
        <v>355</v>
      </c>
      <c r="AZ88" s="68" t="s">
        <v>356</v>
      </c>
      <c r="BA88" s="49" t="s">
        <v>154</v>
      </c>
      <c r="BC88" s="37">
        <f t="shared" si="127"/>
        <v>0</v>
      </c>
      <c r="BD88" s="37">
        <f t="shared" si="128"/>
        <v>0</v>
      </c>
      <c r="BE88" s="37">
        <v>0</v>
      </c>
      <c r="BF88" s="37">
        <f>88</f>
        <v>88</v>
      </c>
      <c r="BH88" s="37">
        <f t="shared" si="129"/>
        <v>0</v>
      </c>
      <c r="BI88" s="37">
        <f t="shared" si="130"/>
        <v>0</v>
      </c>
      <c r="BJ88" s="37">
        <f t="shared" si="131"/>
        <v>0</v>
      </c>
      <c r="BK88" s="37"/>
      <c r="BL88" s="37">
        <v>783</v>
      </c>
      <c r="BW88" s="37">
        <v>21</v>
      </c>
      <c r="BX88" s="3" t="s">
        <v>367</v>
      </c>
    </row>
    <row r="89" spans="1:76" x14ac:dyDescent="0.25">
      <c r="A89" s="1" t="s">
        <v>368</v>
      </c>
      <c r="B89" s="2" t="s">
        <v>369</v>
      </c>
      <c r="C89" s="287" t="s">
        <v>370</v>
      </c>
      <c r="D89" s="284"/>
      <c r="E89" s="2" t="s">
        <v>150</v>
      </c>
      <c r="F89" s="37">
        <v>1.5</v>
      </c>
      <c r="G89" s="66">
        <v>0</v>
      </c>
      <c r="H89" s="37">
        <f t="shared" si="110"/>
        <v>0</v>
      </c>
      <c r="I89" s="37">
        <f t="shared" si="111"/>
        <v>0</v>
      </c>
      <c r="J89" s="37">
        <f t="shared" si="112"/>
        <v>0</v>
      </c>
      <c r="K89" s="67" t="s">
        <v>151</v>
      </c>
      <c r="Z89" s="37">
        <f t="shared" si="113"/>
        <v>0</v>
      </c>
      <c r="AB89" s="37">
        <f t="shared" si="114"/>
        <v>0</v>
      </c>
      <c r="AC89" s="37">
        <f t="shared" si="115"/>
        <v>0</v>
      </c>
      <c r="AD89" s="37">
        <f t="shared" si="116"/>
        <v>0</v>
      </c>
      <c r="AE89" s="37">
        <f t="shared" si="117"/>
        <v>0</v>
      </c>
      <c r="AF89" s="37">
        <f t="shared" si="118"/>
        <v>0</v>
      </c>
      <c r="AG89" s="37">
        <f t="shared" si="119"/>
        <v>0</v>
      </c>
      <c r="AH89" s="37">
        <f t="shared" si="120"/>
        <v>0</v>
      </c>
      <c r="AI89" s="49" t="s">
        <v>82</v>
      </c>
      <c r="AJ89" s="37">
        <f t="shared" si="121"/>
        <v>0</v>
      </c>
      <c r="AK89" s="37">
        <f t="shared" si="122"/>
        <v>0</v>
      </c>
      <c r="AL89" s="37">
        <f t="shared" si="123"/>
        <v>0</v>
      </c>
      <c r="AN89" s="37">
        <v>21</v>
      </c>
      <c r="AO89" s="37">
        <f>G89*0.625235849</f>
        <v>0</v>
      </c>
      <c r="AP89" s="37">
        <f>G89*(1-0.625235849)</f>
        <v>0</v>
      </c>
      <c r="AQ89" s="68" t="s">
        <v>174</v>
      </c>
      <c r="AV89" s="37">
        <f t="shared" si="124"/>
        <v>0</v>
      </c>
      <c r="AW89" s="37">
        <f t="shared" si="125"/>
        <v>0</v>
      </c>
      <c r="AX89" s="37">
        <f t="shared" si="126"/>
        <v>0</v>
      </c>
      <c r="AY89" s="68" t="s">
        <v>355</v>
      </c>
      <c r="AZ89" s="68" t="s">
        <v>356</v>
      </c>
      <c r="BA89" s="49" t="s">
        <v>154</v>
      </c>
      <c r="BC89" s="37">
        <f t="shared" si="127"/>
        <v>0</v>
      </c>
      <c r="BD89" s="37">
        <f t="shared" si="128"/>
        <v>0</v>
      </c>
      <c r="BE89" s="37">
        <v>0</v>
      </c>
      <c r="BF89" s="37">
        <f>89</f>
        <v>89</v>
      </c>
      <c r="BH89" s="37">
        <f t="shared" si="129"/>
        <v>0</v>
      </c>
      <c r="BI89" s="37">
        <f t="shared" si="130"/>
        <v>0</v>
      </c>
      <c r="BJ89" s="37">
        <f t="shared" si="131"/>
        <v>0</v>
      </c>
      <c r="BK89" s="37"/>
      <c r="BL89" s="37">
        <v>783</v>
      </c>
      <c r="BW89" s="37">
        <v>21</v>
      </c>
      <c r="BX89" s="3" t="s">
        <v>370</v>
      </c>
    </row>
    <row r="90" spans="1:76" x14ac:dyDescent="0.25">
      <c r="A90" s="61" t="s">
        <v>4</v>
      </c>
      <c r="B90" s="62" t="s">
        <v>104</v>
      </c>
      <c r="C90" s="370" t="s">
        <v>105</v>
      </c>
      <c r="D90" s="371"/>
      <c r="E90" s="63" t="s">
        <v>74</v>
      </c>
      <c r="F90" s="63" t="s">
        <v>74</v>
      </c>
      <c r="G90" s="64" t="s">
        <v>74</v>
      </c>
      <c r="H90" s="43">
        <f>SUM(H91:H96)</f>
        <v>0</v>
      </c>
      <c r="I90" s="43">
        <f>SUM(I91:I96)</f>
        <v>0</v>
      </c>
      <c r="J90" s="43">
        <f>SUM(J91:J96)</f>
        <v>0</v>
      </c>
      <c r="K90" s="65" t="s">
        <v>4</v>
      </c>
      <c r="AI90" s="49" t="s">
        <v>82</v>
      </c>
      <c r="AS90" s="43">
        <f>SUM(AJ91:AJ96)</f>
        <v>0</v>
      </c>
      <c r="AT90" s="43">
        <f>SUM(AK91:AK96)</f>
        <v>0</v>
      </c>
      <c r="AU90" s="43">
        <f>SUM(AL91:AL96)</f>
        <v>0</v>
      </c>
    </row>
    <row r="91" spans="1:76" x14ac:dyDescent="0.25">
      <c r="A91" s="1" t="s">
        <v>371</v>
      </c>
      <c r="B91" s="2" t="s">
        <v>372</v>
      </c>
      <c r="C91" s="287" t="s">
        <v>373</v>
      </c>
      <c r="D91" s="284"/>
      <c r="E91" s="2" t="s">
        <v>150</v>
      </c>
      <c r="F91" s="37">
        <v>404.7</v>
      </c>
      <c r="G91" s="66">
        <v>0</v>
      </c>
      <c r="H91" s="37">
        <f t="shared" ref="H91:H96" si="132">F91*AO91</f>
        <v>0</v>
      </c>
      <c r="I91" s="37">
        <f t="shared" ref="I91:I96" si="133">F91*AP91</f>
        <v>0</v>
      </c>
      <c r="J91" s="37">
        <f t="shared" ref="J91:J96" si="134">F91*G91</f>
        <v>0</v>
      </c>
      <c r="K91" s="67" t="s">
        <v>151</v>
      </c>
      <c r="Z91" s="37">
        <f t="shared" ref="Z91:Z96" si="135">IF(AQ91="5",BJ91,0)</f>
        <v>0</v>
      </c>
      <c r="AB91" s="37">
        <f t="shared" ref="AB91:AB96" si="136">IF(AQ91="1",BH91,0)</f>
        <v>0</v>
      </c>
      <c r="AC91" s="37">
        <f t="shared" ref="AC91:AC96" si="137">IF(AQ91="1",BI91,0)</f>
        <v>0</v>
      </c>
      <c r="AD91" s="37">
        <f t="shared" ref="AD91:AD96" si="138">IF(AQ91="7",BH91,0)</f>
        <v>0</v>
      </c>
      <c r="AE91" s="37">
        <f t="shared" ref="AE91:AE96" si="139">IF(AQ91="7",BI91,0)</f>
        <v>0</v>
      </c>
      <c r="AF91" s="37">
        <f t="shared" ref="AF91:AF96" si="140">IF(AQ91="2",BH91,0)</f>
        <v>0</v>
      </c>
      <c r="AG91" s="37">
        <f t="shared" ref="AG91:AG96" si="141">IF(AQ91="2",BI91,0)</f>
        <v>0</v>
      </c>
      <c r="AH91" s="37">
        <f t="shared" ref="AH91:AH96" si="142">IF(AQ91="0",BJ91,0)</f>
        <v>0</v>
      </c>
      <c r="AI91" s="49" t="s">
        <v>82</v>
      </c>
      <c r="AJ91" s="37">
        <f t="shared" ref="AJ91:AJ96" si="143">IF(AN91=0,J91,0)</f>
        <v>0</v>
      </c>
      <c r="AK91" s="37">
        <f t="shared" ref="AK91:AK96" si="144">IF(AN91=12,J91,0)</f>
        <v>0</v>
      </c>
      <c r="AL91" s="37">
        <f t="shared" ref="AL91:AL96" si="145">IF(AN91=21,J91,0)</f>
        <v>0</v>
      </c>
      <c r="AN91" s="37">
        <v>21</v>
      </c>
      <c r="AO91" s="37">
        <f>G91*0.64223301</f>
        <v>0</v>
      </c>
      <c r="AP91" s="37">
        <f>G91*(1-0.64223301)</f>
        <v>0</v>
      </c>
      <c r="AQ91" s="68" t="s">
        <v>174</v>
      </c>
      <c r="AV91" s="37">
        <f t="shared" ref="AV91:AV96" si="146">AW91+AX91</f>
        <v>0</v>
      </c>
      <c r="AW91" s="37">
        <f t="shared" ref="AW91:AW96" si="147">F91*AO91</f>
        <v>0</v>
      </c>
      <c r="AX91" s="37">
        <f t="shared" ref="AX91:AX96" si="148">F91*AP91</f>
        <v>0</v>
      </c>
      <c r="AY91" s="68" t="s">
        <v>374</v>
      </c>
      <c r="AZ91" s="68" t="s">
        <v>356</v>
      </c>
      <c r="BA91" s="49" t="s">
        <v>154</v>
      </c>
      <c r="BC91" s="37">
        <f t="shared" ref="BC91:BC96" si="149">AW91+AX91</f>
        <v>0</v>
      </c>
      <c r="BD91" s="37">
        <f t="shared" ref="BD91:BD96" si="150">G91/(100-BE91)*100</f>
        <v>0</v>
      </c>
      <c r="BE91" s="37">
        <v>0</v>
      </c>
      <c r="BF91" s="37">
        <f>91</f>
        <v>91</v>
      </c>
      <c r="BH91" s="37">
        <f t="shared" ref="BH91:BH96" si="151">F91*AO91</f>
        <v>0</v>
      </c>
      <c r="BI91" s="37">
        <f t="shared" ref="BI91:BI96" si="152">F91*AP91</f>
        <v>0</v>
      </c>
      <c r="BJ91" s="37">
        <f t="shared" ref="BJ91:BJ96" si="153">F91*G91</f>
        <v>0</v>
      </c>
      <c r="BK91" s="37"/>
      <c r="BL91" s="37">
        <v>784</v>
      </c>
      <c r="BW91" s="37">
        <v>21</v>
      </c>
      <c r="BX91" s="3" t="s">
        <v>373</v>
      </c>
    </row>
    <row r="92" spans="1:76" x14ac:dyDescent="0.25">
      <c r="A92" s="1" t="s">
        <v>375</v>
      </c>
      <c r="B92" s="2" t="s">
        <v>376</v>
      </c>
      <c r="C92" s="287" t="s">
        <v>377</v>
      </c>
      <c r="D92" s="284"/>
      <c r="E92" s="2" t="s">
        <v>150</v>
      </c>
      <c r="F92" s="37">
        <v>17</v>
      </c>
      <c r="G92" s="66">
        <v>0</v>
      </c>
      <c r="H92" s="37">
        <f t="shared" si="132"/>
        <v>0</v>
      </c>
      <c r="I92" s="37">
        <f t="shared" si="133"/>
        <v>0</v>
      </c>
      <c r="J92" s="37">
        <f t="shared" si="134"/>
        <v>0</v>
      </c>
      <c r="K92" s="67" t="s">
        <v>151</v>
      </c>
      <c r="Z92" s="37">
        <f t="shared" si="135"/>
        <v>0</v>
      </c>
      <c r="AB92" s="37">
        <f t="shared" si="136"/>
        <v>0</v>
      </c>
      <c r="AC92" s="37">
        <f t="shared" si="137"/>
        <v>0</v>
      </c>
      <c r="AD92" s="37">
        <f t="shared" si="138"/>
        <v>0</v>
      </c>
      <c r="AE92" s="37">
        <f t="shared" si="139"/>
        <v>0</v>
      </c>
      <c r="AF92" s="37">
        <f t="shared" si="140"/>
        <v>0</v>
      </c>
      <c r="AG92" s="37">
        <f t="shared" si="141"/>
        <v>0</v>
      </c>
      <c r="AH92" s="37">
        <f t="shared" si="142"/>
        <v>0</v>
      </c>
      <c r="AI92" s="49" t="s">
        <v>82</v>
      </c>
      <c r="AJ92" s="37">
        <f t="shared" si="143"/>
        <v>0</v>
      </c>
      <c r="AK92" s="37">
        <f t="shared" si="144"/>
        <v>0</v>
      </c>
      <c r="AL92" s="37">
        <f t="shared" si="145"/>
        <v>0</v>
      </c>
      <c r="AN92" s="37">
        <v>21</v>
      </c>
      <c r="AO92" s="37">
        <f>G92*0.156682028</f>
        <v>0</v>
      </c>
      <c r="AP92" s="37">
        <f>G92*(1-0.156682028)</f>
        <v>0</v>
      </c>
      <c r="AQ92" s="68" t="s">
        <v>174</v>
      </c>
      <c r="AV92" s="37">
        <f t="shared" si="146"/>
        <v>0</v>
      </c>
      <c r="AW92" s="37">
        <f t="shared" si="147"/>
        <v>0</v>
      </c>
      <c r="AX92" s="37">
        <f t="shared" si="148"/>
        <v>0</v>
      </c>
      <c r="AY92" s="68" t="s">
        <v>374</v>
      </c>
      <c r="AZ92" s="68" t="s">
        <v>356</v>
      </c>
      <c r="BA92" s="49" t="s">
        <v>154</v>
      </c>
      <c r="BC92" s="37">
        <f t="shared" si="149"/>
        <v>0</v>
      </c>
      <c r="BD92" s="37">
        <f t="shared" si="150"/>
        <v>0</v>
      </c>
      <c r="BE92" s="37">
        <v>0</v>
      </c>
      <c r="BF92" s="37">
        <f>92</f>
        <v>92</v>
      </c>
      <c r="BH92" s="37">
        <f t="shared" si="151"/>
        <v>0</v>
      </c>
      <c r="BI92" s="37">
        <f t="shared" si="152"/>
        <v>0</v>
      </c>
      <c r="BJ92" s="37">
        <f t="shared" si="153"/>
        <v>0</v>
      </c>
      <c r="BK92" s="37"/>
      <c r="BL92" s="37">
        <v>784</v>
      </c>
      <c r="BW92" s="37">
        <v>21</v>
      </c>
      <c r="BX92" s="3" t="s">
        <v>377</v>
      </c>
    </row>
    <row r="93" spans="1:76" x14ac:dyDescent="0.25">
      <c r="A93" s="1" t="s">
        <v>378</v>
      </c>
      <c r="B93" s="2" t="s">
        <v>379</v>
      </c>
      <c r="C93" s="287" t="s">
        <v>380</v>
      </c>
      <c r="D93" s="284"/>
      <c r="E93" s="2" t="s">
        <v>150</v>
      </c>
      <c r="F93" s="37">
        <v>17</v>
      </c>
      <c r="G93" s="66">
        <v>0</v>
      </c>
      <c r="H93" s="37">
        <f t="shared" si="132"/>
        <v>0</v>
      </c>
      <c r="I93" s="37">
        <f t="shared" si="133"/>
        <v>0</v>
      </c>
      <c r="J93" s="37">
        <f t="shared" si="134"/>
        <v>0</v>
      </c>
      <c r="K93" s="67" t="s">
        <v>151</v>
      </c>
      <c r="Z93" s="37">
        <f t="shared" si="135"/>
        <v>0</v>
      </c>
      <c r="AB93" s="37">
        <f t="shared" si="136"/>
        <v>0</v>
      </c>
      <c r="AC93" s="37">
        <f t="shared" si="137"/>
        <v>0</v>
      </c>
      <c r="AD93" s="37">
        <f t="shared" si="138"/>
        <v>0</v>
      </c>
      <c r="AE93" s="37">
        <f t="shared" si="139"/>
        <v>0</v>
      </c>
      <c r="AF93" s="37">
        <f t="shared" si="140"/>
        <v>0</v>
      </c>
      <c r="AG93" s="37">
        <f t="shared" si="141"/>
        <v>0</v>
      </c>
      <c r="AH93" s="37">
        <f t="shared" si="142"/>
        <v>0</v>
      </c>
      <c r="AI93" s="49" t="s">
        <v>82</v>
      </c>
      <c r="AJ93" s="37">
        <f t="shared" si="143"/>
        <v>0</v>
      </c>
      <c r="AK93" s="37">
        <f t="shared" si="144"/>
        <v>0</v>
      </c>
      <c r="AL93" s="37">
        <f t="shared" si="145"/>
        <v>0</v>
      </c>
      <c r="AN93" s="37">
        <v>21</v>
      </c>
      <c r="AO93" s="37">
        <f>G93*0.269758577</f>
        <v>0</v>
      </c>
      <c r="AP93" s="37">
        <f>G93*(1-0.269758577)</f>
        <v>0</v>
      </c>
      <c r="AQ93" s="68" t="s">
        <v>174</v>
      </c>
      <c r="AV93" s="37">
        <f t="shared" si="146"/>
        <v>0</v>
      </c>
      <c r="AW93" s="37">
        <f t="shared" si="147"/>
        <v>0</v>
      </c>
      <c r="AX93" s="37">
        <f t="shared" si="148"/>
        <v>0</v>
      </c>
      <c r="AY93" s="68" t="s">
        <v>374</v>
      </c>
      <c r="AZ93" s="68" t="s">
        <v>356</v>
      </c>
      <c r="BA93" s="49" t="s">
        <v>154</v>
      </c>
      <c r="BC93" s="37">
        <f t="shared" si="149"/>
        <v>0</v>
      </c>
      <c r="BD93" s="37">
        <f t="shared" si="150"/>
        <v>0</v>
      </c>
      <c r="BE93" s="37">
        <v>0</v>
      </c>
      <c r="BF93" s="37">
        <f>93</f>
        <v>93</v>
      </c>
      <c r="BH93" s="37">
        <f t="shared" si="151"/>
        <v>0</v>
      </c>
      <c r="BI93" s="37">
        <f t="shared" si="152"/>
        <v>0</v>
      </c>
      <c r="BJ93" s="37">
        <f t="shared" si="153"/>
        <v>0</v>
      </c>
      <c r="BK93" s="37"/>
      <c r="BL93" s="37">
        <v>784</v>
      </c>
      <c r="BW93" s="37">
        <v>21</v>
      </c>
      <c r="BX93" s="3" t="s">
        <v>380</v>
      </c>
    </row>
    <row r="94" spans="1:76" x14ac:dyDescent="0.25">
      <c r="A94" s="1" t="s">
        <v>381</v>
      </c>
      <c r="B94" s="2" t="s">
        <v>382</v>
      </c>
      <c r="C94" s="287" t="s">
        <v>383</v>
      </c>
      <c r="D94" s="284"/>
      <c r="E94" s="2" t="s">
        <v>150</v>
      </c>
      <c r="F94" s="37">
        <v>170.81100000000001</v>
      </c>
      <c r="G94" s="66">
        <v>0</v>
      </c>
      <c r="H94" s="37">
        <f t="shared" si="132"/>
        <v>0</v>
      </c>
      <c r="I94" s="37">
        <f t="shared" si="133"/>
        <v>0</v>
      </c>
      <c r="J94" s="37">
        <f t="shared" si="134"/>
        <v>0</v>
      </c>
      <c r="K94" s="67" t="s">
        <v>151</v>
      </c>
      <c r="Z94" s="37">
        <f t="shared" si="135"/>
        <v>0</v>
      </c>
      <c r="AB94" s="37">
        <f t="shared" si="136"/>
        <v>0</v>
      </c>
      <c r="AC94" s="37">
        <f t="shared" si="137"/>
        <v>0</v>
      </c>
      <c r="AD94" s="37">
        <f t="shared" si="138"/>
        <v>0</v>
      </c>
      <c r="AE94" s="37">
        <f t="shared" si="139"/>
        <v>0</v>
      </c>
      <c r="AF94" s="37">
        <f t="shared" si="140"/>
        <v>0</v>
      </c>
      <c r="AG94" s="37">
        <f t="shared" si="141"/>
        <v>0</v>
      </c>
      <c r="AH94" s="37">
        <f t="shared" si="142"/>
        <v>0</v>
      </c>
      <c r="AI94" s="49" t="s">
        <v>82</v>
      </c>
      <c r="AJ94" s="37">
        <f t="shared" si="143"/>
        <v>0</v>
      </c>
      <c r="AK94" s="37">
        <f t="shared" si="144"/>
        <v>0</v>
      </c>
      <c r="AL94" s="37">
        <f t="shared" si="145"/>
        <v>0</v>
      </c>
      <c r="AN94" s="37">
        <v>21</v>
      </c>
      <c r="AO94" s="37">
        <f>G94*0</f>
        <v>0</v>
      </c>
      <c r="AP94" s="37">
        <f>G94*(1-0)</f>
        <v>0</v>
      </c>
      <c r="AQ94" s="68" t="s">
        <v>174</v>
      </c>
      <c r="AV94" s="37">
        <f t="shared" si="146"/>
        <v>0</v>
      </c>
      <c r="AW94" s="37">
        <f t="shared" si="147"/>
        <v>0</v>
      </c>
      <c r="AX94" s="37">
        <f t="shared" si="148"/>
        <v>0</v>
      </c>
      <c r="AY94" s="68" t="s">
        <v>374</v>
      </c>
      <c r="AZ94" s="68" t="s">
        <v>356</v>
      </c>
      <c r="BA94" s="49" t="s">
        <v>154</v>
      </c>
      <c r="BC94" s="37">
        <f t="shared" si="149"/>
        <v>0</v>
      </c>
      <c r="BD94" s="37">
        <f t="shared" si="150"/>
        <v>0</v>
      </c>
      <c r="BE94" s="37">
        <v>0</v>
      </c>
      <c r="BF94" s="37">
        <f>94</f>
        <v>94</v>
      </c>
      <c r="BH94" s="37">
        <f t="shared" si="151"/>
        <v>0</v>
      </c>
      <c r="BI94" s="37">
        <f t="shared" si="152"/>
        <v>0</v>
      </c>
      <c r="BJ94" s="37">
        <f t="shared" si="153"/>
        <v>0</v>
      </c>
      <c r="BK94" s="37"/>
      <c r="BL94" s="37">
        <v>784</v>
      </c>
      <c r="BW94" s="37">
        <v>21</v>
      </c>
      <c r="BX94" s="3" t="s">
        <v>383</v>
      </c>
    </row>
    <row r="95" spans="1:76" x14ac:dyDescent="0.25">
      <c r="A95" s="1" t="s">
        <v>384</v>
      </c>
      <c r="B95" s="2" t="s">
        <v>385</v>
      </c>
      <c r="C95" s="287" t="s">
        <v>386</v>
      </c>
      <c r="D95" s="284"/>
      <c r="E95" s="2" t="s">
        <v>150</v>
      </c>
      <c r="F95" s="37">
        <v>271.01100000000002</v>
      </c>
      <c r="G95" s="66">
        <v>0</v>
      </c>
      <c r="H95" s="37">
        <f t="shared" si="132"/>
        <v>0</v>
      </c>
      <c r="I95" s="37">
        <f t="shared" si="133"/>
        <v>0</v>
      </c>
      <c r="J95" s="37">
        <f t="shared" si="134"/>
        <v>0</v>
      </c>
      <c r="K95" s="67" t="s">
        <v>151</v>
      </c>
      <c r="Z95" s="37">
        <f t="shared" si="135"/>
        <v>0</v>
      </c>
      <c r="AB95" s="37">
        <f t="shared" si="136"/>
        <v>0</v>
      </c>
      <c r="AC95" s="37">
        <f t="shared" si="137"/>
        <v>0</v>
      </c>
      <c r="AD95" s="37">
        <f t="shared" si="138"/>
        <v>0</v>
      </c>
      <c r="AE95" s="37">
        <f t="shared" si="139"/>
        <v>0</v>
      </c>
      <c r="AF95" s="37">
        <f t="shared" si="140"/>
        <v>0</v>
      </c>
      <c r="AG95" s="37">
        <f t="shared" si="141"/>
        <v>0</v>
      </c>
      <c r="AH95" s="37">
        <f t="shared" si="142"/>
        <v>0</v>
      </c>
      <c r="AI95" s="49" t="s">
        <v>82</v>
      </c>
      <c r="AJ95" s="37">
        <f t="shared" si="143"/>
        <v>0</v>
      </c>
      <c r="AK95" s="37">
        <f t="shared" si="144"/>
        <v>0</v>
      </c>
      <c r="AL95" s="37">
        <f t="shared" si="145"/>
        <v>0</v>
      </c>
      <c r="AN95" s="37">
        <v>21</v>
      </c>
      <c r="AO95" s="37">
        <f>G95*0.60217372</f>
        <v>0</v>
      </c>
      <c r="AP95" s="37">
        <f>G95*(1-0.60217372)</f>
        <v>0</v>
      </c>
      <c r="AQ95" s="68" t="s">
        <v>174</v>
      </c>
      <c r="AV95" s="37">
        <f t="shared" si="146"/>
        <v>0</v>
      </c>
      <c r="AW95" s="37">
        <f t="shared" si="147"/>
        <v>0</v>
      </c>
      <c r="AX95" s="37">
        <f t="shared" si="148"/>
        <v>0</v>
      </c>
      <c r="AY95" s="68" t="s">
        <v>374</v>
      </c>
      <c r="AZ95" s="68" t="s">
        <v>356</v>
      </c>
      <c r="BA95" s="49" t="s">
        <v>154</v>
      </c>
      <c r="BC95" s="37">
        <f t="shared" si="149"/>
        <v>0</v>
      </c>
      <c r="BD95" s="37">
        <f t="shared" si="150"/>
        <v>0</v>
      </c>
      <c r="BE95" s="37">
        <v>0</v>
      </c>
      <c r="BF95" s="37">
        <f>95</f>
        <v>95</v>
      </c>
      <c r="BH95" s="37">
        <f t="shared" si="151"/>
        <v>0</v>
      </c>
      <c r="BI95" s="37">
        <f t="shared" si="152"/>
        <v>0</v>
      </c>
      <c r="BJ95" s="37">
        <f t="shared" si="153"/>
        <v>0</v>
      </c>
      <c r="BK95" s="37"/>
      <c r="BL95" s="37">
        <v>784</v>
      </c>
      <c r="BW95" s="37">
        <v>21</v>
      </c>
      <c r="BX95" s="3" t="s">
        <v>386</v>
      </c>
    </row>
    <row r="96" spans="1:76" x14ac:dyDescent="0.25">
      <c r="A96" s="1" t="s">
        <v>387</v>
      </c>
      <c r="B96" s="2" t="s">
        <v>388</v>
      </c>
      <c r="C96" s="287" t="s">
        <v>389</v>
      </c>
      <c r="D96" s="284"/>
      <c r="E96" s="2" t="s">
        <v>150</v>
      </c>
      <c r="F96" s="37">
        <v>271.01100000000002</v>
      </c>
      <c r="G96" s="66">
        <v>0</v>
      </c>
      <c r="H96" s="37">
        <f t="shared" si="132"/>
        <v>0</v>
      </c>
      <c r="I96" s="37">
        <f t="shared" si="133"/>
        <v>0</v>
      </c>
      <c r="J96" s="37">
        <f t="shared" si="134"/>
        <v>0</v>
      </c>
      <c r="K96" s="67" t="s">
        <v>151</v>
      </c>
      <c r="Z96" s="37">
        <f t="shared" si="135"/>
        <v>0</v>
      </c>
      <c r="AB96" s="37">
        <f t="shared" si="136"/>
        <v>0</v>
      </c>
      <c r="AC96" s="37">
        <f t="shared" si="137"/>
        <v>0</v>
      </c>
      <c r="AD96" s="37">
        <f t="shared" si="138"/>
        <v>0</v>
      </c>
      <c r="AE96" s="37">
        <f t="shared" si="139"/>
        <v>0</v>
      </c>
      <c r="AF96" s="37">
        <f t="shared" si="140"/>
        <v>0</v>
      </c>
      <c r="AG96" s="37">
        <f t="shared" si="141"/>
        <v>0</v>
      </c>
      <c r="AH96" s="37">
        <f t="shared" si="142"/>
        <v>0</v>
      </c>
      <c r="AI96" s="49" t="s">
        <v>82</v>
      </c>
      <c r="AJ96" s="37">
        <f t="shared" si="143"/>
        <v>0</v>
      </c>
      <c r="AK96" s="37">
        <f t="shared" si="144"/>
        <v>0</v>
      </c>
      <c r="AL96" s="37">
        <f t="shared" si="145"/>
        <v>0</v>
      </c>
      <c r="AN96" s="37">
        <v>21</v>
      </c>
      <c r="AO96" s="37">
        <f>G96*0.19354843</f>
        <v>0</v>
      </c>
      <c r="AP96" s="37">
        <f>G96*(1-0.19354843)</f>
        <v>0</v>
      </c>
      <c r="AQ96" s="68" t="s">
        <v>174</v>
      </c>
      <c r="AV96" s="37">
        <f t="shared" si="146"/>
        <v>0</v>
      </c>
      <c r="AW96" s="37">
        <f t="shared" si="147"/>
        <v>0</v>
      </c>
      <c r="AX96" s="37">
        <f t="shared" si="148"/>
        <v>0</v>
      </c>
      <c r="AY96" s="68" t="s">
        <v>374</v>
      </c>
      <c r="AZ96" s="68" t="s">
        <v>356</v>
      </c>
      <c r="BA96" s="49" t="s">
        <v>154</v>
      </c>
      <c r="BC96" s="37">
        <f t="shared" si="149"/>
        <v>0</v>
      </c>
      <c r="BD96" s="37">
        <f t="shared" si="150"/>
        <v>0</v>
      </c>
      <c r="BE96" s="37">
        <v>0</v>
      </c>
      <c r="BF96" s="37">
        <f>96</f>
        <v>96</v>
      </c>
      <c r="BH96" s="37">
        <f t="shared" si="151"/>
        <v>0</v>
      </c>
      <c r="BI96" s="37">
        <f t="shared" si="152"/>
        <v>0</v>
      </c>
      <c r="BJ96" s="37">
        <f t="shared" si="153"/>
        <v>0</v>
      </c>
      <c r="BK96" s="37"/>
      <c r="BL96" s="37">
        <v>784</v>
      </c>
      <c r="BW96" s="37">
        <v>21</v>
      </c>
      <c r="BX96" s="3" t="s">
        <v>389</v>
      </c>
    </row>
    <row r="97" spans="1:76" x14ac:dyDescent="0.25">
      <c r="A97" s="61" t="s">
        <v>4</v>
      </c>
      <c r="B97" s="62" t="s">
        <v>106</v>
      </c>
      <c r="C97" s="370" t="s">
        <v>107</v>
      </c>
      <c r="D97" s="371"/>
      <c r="E97" s="63" t="s">
        <v>74</v>
      </c>
      <c r="F97" s="63" t="s">
        <v>74</v>
      </c>
      <c r="G97" s="64" t="s">
        <v>74</v>
      </c>
      <c r="H97" s="43">
        <f>SUM(H98:H98)</f>
        <v>0</v>
      </c>
      <c r="I97" s="43">
        <f>SUM(I98:I98)</f>
        <v>0</v>
      </c>
      <c r="J97" s="43">
        <f>SUM(J98:J98)</f>
        <v>0</v>
      </c>
      <c r="K97" s="65" t="s">
        <v>4</v>
      </c>
      <c r="AI97" s="49" t="s">
        <v>82</v>
      </c>
      <c r="AS97" s="43">
        <f>SUM(AJ98:AJ98)</f>
        <v>0</v>
      </c>
      <c r="AT97" s="43">
        <f>SUM(AK98:AK98)</f>
        <v>0</v>
      </c>
      <c r="AU97" s="43">
        <f>SUM(AL98:AL98)</f>
        <v>0</v>
      </c>
    </row>
    <row r="98" spans="1:76" x14ac:dyDescent="0.25">
      <c r="A98" s="1" t="s">
        <v>390</v>
      </c>
      <c r="B98" s="2" t="s">
        <v>391</v>
      </c>
      <c r="C98" s="287" t="s">
        <v>392</v>
      </c>
      <c r="D98" s="284"/>
      <c r="E98" s="2" t="s">
        <v>150</v>
      </c>
      <c r="F98" s="37">
        <v>404.7</v>
      </c>
      <c r="G98" s="66">
        <v>0</v>
      </c>
      <c r="H98" s="37">
        <f>F98*AO98</f>
        <v>0</v>
      </c>
      <c r="I98" s="37">
        <f>F98*AP98</f>
        <v>0</v>
      </c>
      <c r="J98" s="37">
        <f>F98*G98</f>
        <v>0</v>
      </c>
      <c r="K98" s="67" t="s">
        <v>151</v>
      </c>
      <c r="Z98" s="37">
        <f>IF(AQ98="5",BJ98,0)</f>
        <v>0</v>
      </c>
      <c r="AB98" s="37">
        <f>IF(AQ98="1",BH98,0)</f>
        <v>0</v>
      </c>
      <c r="AC98" s="37">
        <f>IF(AQ98="1",BI98,0)</f>
        <v>0</v>
      </c>
      <c r="AD98" s="37">
        <f>IF(AQ98="7",BH98,0)</f>
        <v>0</v>
      </c>
      <c r="AE98" s="37">
        <f>IF(AQ98="7",BI98,0)</f>
        <v>0</v>
      </c>
      <c r="AF98" s="37">
        <f>IF(AQ98="2",BH98,0)</f>
        <v>0</v>
      </c>
      <c r="AG98" s="37">
        <f>IF(AQ98="2",BI98,0)</f>
        <v>0</v>
      </c>
      <c r="AH98" s="37">
        <f>IF(AQ98="0",BJ98,0)</f>
        <v>0</v>
      </c>
      <c r="AI98" s="49" t="s">
        <v>82</v>
      </c>
      <c r="AJ98" s="37">
        <f>IF(AN98=0,J98,0)</f>
        <v>0</v>
      </c>
      <c r="AK98" s="37">
        <f>IF(AN98=12,J98,0)</f>
        <v>0</v>
      </c>
      <c r="AL98" s="37">
        <f>IF(AN98=21,J98,0)</f>
        <v>0</v>
      </c>
      <c r="AN98" s="37">
        <v>21</v>
      </c>
      <c r="AO98" s="37">
        <f>G98*0.407753953</f>
        <v>0</v>
      </c>
      <c r="AP98" s="37">
        <f>G98*(1-0.407753953)</f>
        <v>0</v>
      </c>
      <c r="AQ98" s="68" t="s">
        <v>147</v>
      </c>
      <c r="AV98" s="37">
        <f>AW98+AX98</f>
        <v>0</v>
      </c>
      <c r="AW98" s="37">
        <f>F98*AO98</f>
        <v>0</v>
      </c>
      <c r="AX98" s="37">
        <f>F98*AP98</f>
        <v>0</v>
      </c>
      <c r="AY98" s="68" t="s">
        <v>393</v>
      </c>
      <c r="AZ98" s="68" t="s">
        <v>394</v>
      </c>
      <c r="BA98" s="49" t="s">
        <v>154</v>
      </c>
      <c r="BC98" s="37">
        <f>AW98+AX98</f>
        <v>0</v>
      </c>
      <c r="BD98" s="37">
        <f>G98/(100-BE98)*100</f>
        <v>0</v>
      </c>
      <c r="BE98" s="37">
        <v>0</v>
      </c>
      <c r="BF98" s="37">
        <f>98</f>
        <v>98</v>
      </c>
      <c r="BH98" s="37">
        <f>F98*AO98</f>
        <v>0</v>
      </c>
      <c r="BI98" s="37">
        <f>F98*AP98</f>
        <v>0</v>
      </c>
      <c r="BJ98" s="37">
        <f>F98*G98</f>
        <v>0</v>
      </c>
      <c r="BK98" s="37"/>
      <c r="BL98" s="37">
        <v>94</v>
      </c>
      <c r="BW98" s="37">
        <v>21</v>
      </c>
      <c r="BX98" s="3" t="s">
        <v>392</v>
      </c>
    </row>
    <row r="99" spans="1:76" x14ac:dyDescent="0.25">
      <c r="A99" s="61" t="s">
        <v>4</v>
      </c>
      <c r="B99" s="62" t="s">
        <v>108</v>
      </c>
      <c r="C99" s="370" t="s">
        <v>109</v>
      </c>
      <c r="D99" s="371"/>
      <c r="E99" s="63" t="s">
        <v>74</v>
      </c>
      <c r="F99" s="63" t="s">
        <v>74</v>
      </c>
      <c r="G99" s="64" t="s">
        <v>74</v>
      </c>
      <c r="H99" s="43">
        <f>SUM(H100:H102)</f>
        <v>0</v>
      </c>
      <c r="I99" s="43">
        <f>SUM(I100:I102)</f>
        <v>0</v>
      </c>
      <c r="J99" s="43">
        <f>SUM(J100:J102)</f>
        <v>0</v>
      </c>
      <c r="K99" s="65" t="s">
        <v>4</v>
      </c>
      <c r="AI99" s="49" t="s">
        <v>82</v>
      </c>
      <c r="AS99" s="43">
        <f>SUM(AJ100:AJ102)</f>
        <v>0</v>
      </c>
      <c r="AT99" s="43">
        <f>SUM(AK100:AK102)</f>
        <v>0</v>
      </c>
      <c r="AU99" s="43">
        <f>SUM(AL100:AL102)</f>
        <v>0</v>
      </c>
    </row>
    <row r="100" spans="1:76" x14ac:dyDescent="0.25">
      <c r="A100" s="1" t="s">
        <v>395</v>
      </c>
      <c r="B100" s="2" t="s">
        <v>396</v>
      </c>
      <c r="C100" s="287" t="s">
        <v>397</v>
      </c>
      <c r="D100" s="284"/>
      <c r="E100" s="2" t="s">
        <v>203</v>
      </c>
      <c r="F100" s="37">
        <v>10.5</v>
      </c>
      <c r="G100" s="66">
        <v>0</v>
      </c>
      <c r="H100" s="37">
        <f>F100*AO100</f>
        <v>0</v>
      </c>
      <c r="I100" s="37">
        <f>F100*AP100</f>
        <v>0</v>
      </c>
      <c r="J100" s="37">
        <f>F100*G100</f>
        <v>0</v>
      </c>
      <c r="K100" s="67" t="s">
        <v>151</v>
      </c>
      <c r="Z100" s="37">
        <f>IF(AQ100="5",BJ100,0)</f>
        <v>0</v>
      </c>
      <c r="AB100" s="37">
        <f>IF(AQ100="1",BH100,0)</f>
        <v>0</v>
      </c>
      <c r="AC100" s="37">
        <f>IF(AQ100="1",BI100,0)</f>
        <v>0</v>
      </c>
      <c r="AD100" s="37">
        <f>IF(AQ100="7",BH100,0)</f>
        <v>0</v>
      </c>
      <c r="AE100" s="37">
        <f>IF(AQ100="7",BI100,0)</f>
        <v>0</v>
      </c>
      <c r="AF100" s="37">
        <f>IF(AQ100="2",BH100,0)</f>
        <v>0</v>
      </c>
      <c r="AG100" s="37">
        <f>IF(AQ100="2",BI100,0)</f>
        <v>0</v>
      </c>
      <c r="AH100" s="37">
        <f>IF(AQ100="0",BJ100,0)</f>
        <v>0</v>
      </c>
      <c r="AI100" s="49" t="s">
        <v>82</v>
      </c>
      <c r="AJ100" s="37">
        <f>IF(AN100=0,J100,0)</f>
        <v>0</v>
      </c>
      <c r="AK100" s="37">
        <f>IF(AN100=12,J100,0)</f>
        <v>0</v>
      </c>
      <c r="AL100" s="37">
        <f>IF(AN100=21,J100,0)</f>
        <v>0</v>
      </c>
      <c r="AN100" s="37">
        <v>21</v>
      </c>
      <c r="AO100" s="37">
        <f>G100*0.406941484</f>
        <v>0</v>
      </c>
      <c r="AP100" s="37">
        <f>G100*(1-0.406941484)</f>
        <v>0</v>
      </c>
      <c r="AQ100" s="68" t="s">
        <v>147</v>
      </c>
      <c r="AV100" s="37">
        <f>AW100+AX100</f>
        <v>0</v>
      </c>
      <c r="AW100" s="37">
        <f>F100*AO100</f>
        <v>0</v>
      </c>
      <c r="AX100" s="37">
        <f>F100*AP100</f>
        <v>0</v>
      </c>
      <c r="AY100" s="68" t="s">
        <v>398</v>
      </c>
      <c r="AZ100" s="68" t="s">
        <v>394</v>
      </c>
      <c r="BA100" s="49" t="s">
        <v>154</v>
      </c>
      <c r="BC100" s="37">
        <f>AW100+AX100</f>
        <v>0</v>
      </c>
      <c r="BD100" s="37">
        <f>G100/(100-BE100)*100</f>
        <v>0</v>
      </c>
      <c r="BE100" s="37">
        <v>0</v>
      </c>
      <c r="BF100" s="37">
        <f>100</f>
        <v>100</v>
      </c>
      <c r="BH100" s="37">
        <f>F100*AO100</f>
        <v>0</v>
      </c>
      <c r="BI100" s="37">
        <f>F100*AP100</f>
        <v>0</v>
      </c>
      <c r="BJ100" s="37">
        <f>F100*G100</f>
        <v>0</v>
      </c>
      <c r="BK100" s="37"/>
      <c r="BL100" s="37">
        <v>95</v>
      </c>
      <c r="BW100" s="37">
        <v>21</v>
      </c>
      <c r="BX100" s="3" t="s">
        <v>397</v>
      </c>
    </row>
    <row r="101" spans="1:76" x14ac:dyDescent="0.25">
      <c r="A101" s="1" t="s">
        <v>399</v>
      </c>
      <c r="B101" s="2" t="s">
        <v>400</v>
      </c>
      <c r="C101" s="287" t="s">
        <v>401</v>
      </c>
      <c r="D101" s="284"/>
      <c r="E101" s="2" t="s">
        <v>402</v>
      </c>
      <c r="F101" s="37">
        <v>1</v>
      </c>
      <c r="G101" s="66">
        <v>0</v>
      </c>
      <c r="H101" s="37">
        <f>F101*AO101</f>
        <v>0</v>
      </c>
      <c r="I101" s="37">
        <f>F101*AP101</f>
        <v>0</v>
      </c>
      <c r="J101" s="37">
        <f>F101*G101</f>
        <v>0</v>
      </c>
      <c r="K101" s="67" t="s">
        <v>151</v>
      </c>
      <c r="Z101" s="37">
        <f>IF(AQ101="5",BJ101,0)</f>
        <v>0</v>
      </c>
      <c r="AB101" s="37">
        <f>IF(AQ101="1",BH101,0)</f>
        <v>0</v>
      </c>
      <c r="AC101" s="37">
        <f>IF(AQ101="1",BI101,0)</f>
        <v>0</v>
      </c>
      <c r="AD101" s="37">
        <f>IF(AQ101="7",BH101,0)</f>
        <v>0</v>
      </c>
      <c r="AE101" s="37">
        <f>IF(AQ101="7",BI101,0)</f>
        <v>0</v>
      </c>
      <c r="AF101" s="37">
        <f>IF(AQ101="2",BH101,0)</f>
        <v>0</v>
      </c>
      <c r="AG101" s="37">
        <f>IF(AQ101="2",BI101,0)</f>
        <v>0</v>
      </c>
      <c r="AH101" s="37">
        <f>IF(AQ101="0",BJ101,0)</f>
        <v>0</v>
      </c>
      <c r="AI101" s="49" t="s">
        <v>82</v>
      </c>
      <c r="AJ101" s="37">
        <f>IF(AN101=0,J101,0)</f>
        <v>0</v>
      </c>
      <c r="AK101" s="37">
        <f>IF(AN101=12,J101,0)</f>
        <v>0</v>
      </c>
      <c r="AL101" s="37">
        <f>IF(AN101=21,J101,0)</f>
        <v>0</v>
      </c>
      <c r="AN101" s="37">
        <v>21</v>
      </c>
      <c r="AO101" s="37">
        <f>G101*0.037512</f>
        <v>0</v>
      </c>
      <c r="AP101" s="37">
        <f>G101*(1-0.037512)</f>
        <v>0</v>
      </c>
      <c r="AQ101" s="68" t="s">
        <v>147</v>
      </c>
      <c r="AV101" s="37">
        <f>AW101+AX101</f>
        <v>0</v>
      </c>
      <c r="AW101" s="37">
        <f>F101*AO101</f>
        <v>0</v>
      </c>
      <c r="AX101" s="37">
        <f>F101*AP101</f>
        <v>0</v>
      </c>
      <c r="AY101" s="68" t="s">
        <v>398</v>
      </c>
      <c r="AZ101" s="68" t="s">
        <v>394</v>
      </c>
      <c r="BA101" s="49" t="s">
        <v>154</v>
      </c>
      <c r="BC101" s="37">
        <f>AW101+AX101</f>
        <v>0</v>
      </c>
      <c r="BD101" s="37">
        <f>G101/(100-BE101)*100</f>
        <v>0</v>
      </c>
      <c r="BE101" s="37">
        <v>0</v>
      </c>
      <c r="BF101" s="37">
        <f>101</f>
        <v>101</v>
      </c>
      <c r="BH101" s="37">
        <f>F101*AO101</f>
        <v>0</v>
      </c>
      <c r="BI101" s="37">
        <f>F101*AP101</f>
        <v>0</v>
      </c>
      <c r="BJ101" s="37">
        <f>F101*G101</f>
        <v>0</v>
      </c>
      <c r="BK101" s="37"/>
      <c r="BL101" s="37">
        <v>95</v>
      </c>
      <c r="BW101" s="37">
        <v>21</v>
      </c>
      <c r="BX101" s="3" t="s">
        <v>401</v>
      </c>
    </row>
    <row r="102" spans="1:76" x14ac:dyDescent="0.25">
      <c r="A102" s="1" t="s">
        <v>403</v>
      </c>
      <c r="B102" s="2" t="s">
        <v>171</v>
      </c>
      <c r="C102" s="287" t="s">
        <v>172</v>
      </c>
      <c r="D102" s="284"/>
      <c r="E102" s="2" t="s">
        <v>173</v>
      </c>
      <c r="F102" s="37">
        <v>1.14761</v>
      </c>
      <c r="G102" s="66">
        <v>0</v>
      </c>
      <c r="H102" s="37">
        <f>F102*AO102</f>
        <v>0</v>
      </c>
      <c r="I102" s="37">
        <f>F102*AP102</f>
        <v>0</v>
      </c>
      <c r="J102" s="37">
        <f>F102*G102</f>
        <v>0</v>
      </c>
      <c r="K102" s="67" t="s">
        <v>151</v>
      </c>
      <c r="Z102" s="37">
        <f>IF(AQ102="5",BJ102,0)</f>
        <v>0</v>
      </c>
      <c r="AB102" s="37">
        <f>IF(AQ102="1",BH102,0)</f>
        <v>0</v>
      </c>
      <c r="AC102" s="37">
        <f>IF(AQ102="1",BI102,0)</f>
        <v>0</v>
      </c>
      <c r="AD102" s="37">
        <f>IF(AQ102="7",BH102,0)</f>
        <v>0</v>
      </c>
      <c r="AE102" s="37">
        <f>IF(AQ102="7",BI102,0)</f>
        <v>0</v>
      </c>
      <c r="AF102" s="37">
        <f>IF(AQ102="2",BH102,0)</f>
        <v>0</v>
      </c>
      <c r="AG102" s="37">
        <f>IF(AQ102="2",BI102,0)</f>
        <v>0</v>
      </c>
      <c r="AH102" s="37">
        <f>IF(AQ102="0",BJ102,0)</f>
        <v>0</v>
      </c>
      <c r="AI102" s="49" t="s">
        <v>82</v>
      </c>
      <c r="AJ102" s="37">
        <f>IF(AN102=0,J102,0)</f>
        <v>0</v>
      </c>
      <c r="AK102" s="37">
        <f>IF(AN102=12,J102,0)</f>
        <v>0</v>
      </c>
      <c r="AL102" s="37">
        <f>IF(AN102=21,J102,0)</f>
        <v>0</v>
      </c>
      <c r="AN102" s="37">
        <v>21</v>
      </c>
      <c r="AO102" s="37">
        <f>G102*0</f>
        <v>0</v>
      </c>
      <c r="AP102" s="37">
        <f>G102*(1-0)</f>
        <v>0</v>
      </c>
      <c r="AQ102" s="68" t="s">
        <v>166</v>
      </c>
      <c r="AV102" s="37">
        <f>AW102+AX102</f>
        <v>0</v>
      </c>
      <c r="AW102" s="37">
        <f>F102*AO102</f>
        <v>0</v>
      </c>
      <c r="AX102" s="37">
        <f>F102*AP102</f>
        <v>0</v>
      </c>
      <c r="AY102" s="68" t="s">
        <v>398</v>
      </c>
      <c r="AZ102" s="68" t="s">
        <v>394</v>
      </c>
      <c r="BA102" s="49" t="s">
        <v>154</v>
      </c>
      <c r="BC102" s="37">
        <f>AW102+AX102</f>
        <v>0</v>
      </c>
      <c r="BD102" s="37">
        <f>G102/(100-BE102)*100</f>
        <v>0</v>
      </c>
      <c r="BE102" s="37">
        <v>0</v>
      </c>
      <c r="BF102" s="37">
        <f>102</f>
        <v>102</v>
      </c>
      <c r="BH102" s="37">
        <f>F102*AO102</f>
        <v>0</v>
      </c>
      <c r="BI102" s="37">
        <f>F102*AP102</f>
        <v>0</v>
      </c>
      <c r="BJ102" s="37">
        <f>F102*G102</f>
        <v>0</v>
      </c>
      <c r="BK102" s="37"/>
      <c r="BL102" s="37">
        <v>95</v>
      </c>
      <c r="BW102" s="37">
        <v>21</v>
      </c>
      <c r="BX102" s="3" t="s">
        <v>172</v>
      </c>
    </row>
    <row r="103" spans="1:76" x14ac:dyDescent="0.25">
      <c r="A103" s="61" t="s">
        <v>4</v>
      </c>
      <c r="B103" s="62" t="s">
        <v>110</v>
      </c>
      <c r="C103" s="370" t="s">
        <v>111</v>
      </c>
      <c r="D103" s="371"/>
      <c r="E103" s="63" t="s">
        <v>74</v>
      </c>
      <c r="F103" s="63" t="s">
        <v>74</v>
      </c>
      <c r="G103" s="64" t="s">
        <v>74</v>
      </c>
      <c r="H103" s="43">
        <f>SUM(H104:H115)</f>
        <v>0</v>
      </c>
      <c r="I103" s="43">
        <f>SUM(I104:I115)</f>
        <v>0</v>
      </c>
      <c r="J103" s="43">
        <f>SUM(J104:J115)</f>
        <v>0</v>
      </c>
      <c r="K103" s="65" t="s">
        <v>4</v>
      </c>
      <c r="AI103" s="49" t="s">
        <v>82</v>
      </c>
      <c r="AS103" s="43">
        <f>SUM(AJ104:AJ115)</f>
        <v>0</v>
      </c>
      <c r="AT103" s="43">
        <f>SUM(AK104:AK115)</f>
        <v>0</v>
      </c>
      <c r="AU103" s="43">
        <f>SUM(AL104:AL115)</f>
        <v>0</v>
      </c>
    </row>
    <row r="104" spans="1:76" x14ac:dyDescent="0.25">
      <c r="A104" s="1" t="s">
        <v>404</v>
      </c>
      <c r="B104" s="2" t="s">
        <v>405</v>
      </c>
      <c r="C104" s="287" t="s">
        <v>406</v>
      </c>
      <c r="D104" s="284"/>
      <c r="E104" s="2" t="s">
        <v>191</v>
      </c>
      <c r="F104" s="37">
        <v>45</v>
      </c>
      <c r="G104" s="66">
        <v>0</v>
      </c>
      <c r="H104" s="37">
        <f t="shared" ref="H104:H115" si="154">F104*AO104</f>
        <v>0</v>
      </c>
      <c r="I104" s="37">
        <f t="shared" ref="I104:I115" si="155">F104*AP104</f>
        <v>0</v>
      </c>
      <c r="J104" s="37">
        <f t="shared" ref="J104:J115" si="156">F104*G104</f>
        <v>0</v>
      </c>
      <c r="K104" s="67" t="s">
        <v>151</v>
      </c>
      <c r="Z104" s="37">
        <f t="shared" ref="Z104:Z115" si="157">IF(AQ104="5",BJ104,0)</f>
        <v>0</v>
      </c>
      <c r="AB104" s="37">
        <f t="shared" ref="AB104:AB115" si="158">IF(AQ104="1",BH104,0)</f>
        <v>0</v>
      </c>
      <c r="AC104" s="37">
        <f t="shared" ref="AC104:AC115" si="159">IF(AQ104="1",BI104,0)</f>
        <v>0</v>
      </c>
      <c r="AD104" s="37">
        <f t="shared" ref="AD104:AD115" si="160">IF(AQ104="7",BH104,0)</f>
        <v>0</v>
      </c>
      <c r="AE104" s="37">
        <f t="shared" ref="AE104:AE115" si="161">IF(AQ104="7",BI104,0)</f>
        <v>0</v>
      </c>
      <c r="AF104" s="37">
        <f t="shared" ref="AF104:AF115" si="162">IF(AQ104="2",BH104,0)</f>
        <v>0</v>
      </c>
      <c r="AG104" s="37">
        <f t="shared" ref="AG104:AG115" si="163">IF(AQ104="2",BI104,0)</f>
        <v>0</v>
      </c>
      <c r="AH104" s="37">
        <f t="shared" ref="AH104:AH115" si="164">IF(AQ104="0",BJ104,0)</f>
        <v>0</v>
      </c>
      <c r="AI104" s="49" t="s">
        <v>82</v>
      </c>
      <c r="AJ104" s="37">
        <f t="shared" ref="AJ104:AJ115" si="165">IF(AN104=0,J104,0)</f>
        <v>0</v>
      </c>
      <c r="AK104" s="37">
        <f t="shared" ref="AK104:AK115" si="166">IF(AN104=12,J104,0)</f>
        <v>0</v>
      </c>
      <c r="AL104" s="37">
        <f t="shared" ref="AL104:AL115" si="167">IF(AN104=21,J104,0)</f>
        <v>0</v>
      </c>
      <c r="AN104" s="37">
        <v>21</v>
      </c>
      <c r="AO104" s="37">
        <f>G104*0</f>
        <v>0</v>
      </c>
      <c r="AP104" s="37">
        <f>G104*(1-0)</f>
        <v>0</v>
      </c>
      <c r="AQ104" s="68" t="s">
        <v>147</v>
      </c>
      <c r="AV104" s="37">
        <f t="shared" ref="AV104:AV115" si="168">AW104+AX104</f>
        <v>0</v>
      </c>
      <c r="AW104" s="37">
        <f t="shared" ref="AW104:AW115" si="169">F104*AO104</f>
        <v>0</v>
      </c>
      <c r="AX104" s="37">
        <f t="shared" ref="AX104:AX115" si="170">F104*AP104</f>
        <v>0</v>
      </c>
      <c r="AY104" s="68" t="s">
        <v>407</v>
      </c>
      <c r="AZ104" s="68" t="s">
        <v>394</v>
      </c>
      <c r="BA104" s="49" t="s">
        <v>154</v>
      </c>
      <c r="BC104" s="37">
        <f t="shared" ref="BC104:BC115" si="171">AW104+AX104</f>
        <v>0</v>
      </c>
      <c r="BD104" s="37">
        <f t="shared" ref="BD104:BD115" si="172">G104/(100-BE104)*100</f>
        <v>0</v>
      </c>
      <c r="BE104" s="37">
        <v>0</v>
      </c>
      <c r="BF104" s="37">
        <f>104</f>
        <v>104</v>
      </c>
      <c r="BH104" s="37">
        <f t="shared" ref="BH104:BH115" si="173">F104*AO104</f>
        <v>0</v>
      </c>
      <c r="BI104" s="37">
        <f t="shared" ref="BI104:BI115" si="174">F104*AP104</f>
        <v>0</v>
      </c>
      <c r="BJ104" s="37">
        <f t="shared" ref="BJ104:BJ115" si="175">F104*G104</f>
        <v>0</v>
      </c>
      <c r="BK104" s="37"/>
      <c r="BL104" s="37">
        <v>96</v>
      </c>
      <c r="BW104" s="37">
        <v>21</v>
      </c>
      <c r="BX104" s="3" t="s">
        <v>406</v>
      </c>
    </row>
    <row r="105" spans="1:76" x14ac:dyDescent="0.25">
      <c r="A105" s="1" t="s">
        <v>408</v>
      </c>
      <c r="B105" s="2" t="s">
        <v>409</v>
      </c>
      <c r="C105" s="287" t="s">
        <v>410</v>
      </c>
      <c r="D105" s="284"/>
      <c r="E105" s="2" t="s">
        <v>191</v>
      </c>
      <c r="F105" s="37">
        <v>10</v>
      </c>
      <c r="G105" s="66">
        <v>0</v>
      </c>
      <c r="H105" s="37">
        <f t="shared" si="154"/>
        <v>0</v>
      </c>
      <c r="I105" s="37">
        <f t="shared" si="155"/>
        <v>0</v>
      </c>
      <c r="J105" s="37">
        <f t="shared" si="156"/>
        <v>0</v>
      </c>
      <c r="K105" s="67" t="s">
        <v>151</v>
      </c>
      <c r="Z105" s="37">
        <f t="shared" si="157"/>
        <v>0</v>
      </c>
      <c r="AB105" s="37">
        <f t="shared" si="158"/>
        <v>0</v>
      </c>
      <c r="AC105" s="37">
        <f t="shared" si="159"/>
        <v>0</v>
      </c>
      <c r="AD105" s="37">
        <f t="shared" si="160"/>
        <v>0</v>
      </c>
      <c r="AE105" s="37">
        <f t="shared" si="161"/>
        <v>0</v>
      </c>
      <c r="AF105" s="37">
        <f t="shared" si="162"/>
        <v>0</v>
      </c>
      <c r="AG105" s="37">
        <f t="shared" si="163"/>
        <v>0</v>
      </c>
      <c r="AH105" s="37">
        <f t="shared" si="164"/>
        <v>0</v>
      </c>
      <c r="AI105" s="49" t="s">
        <v>82</v>
      </c>
      <c r="AJ105" s="37">
        <f t="shared" si="165"/>
        <v>0</v>
      </c>
      <c r="AK105" s="37">
        <f t="shared" si="166"/>
        <v>0</v>
      </c>
      <c r="AL105" s="37">
        <f t="shared" si="167"/>
        <v>0</v>
      </c>
      <c r="AN105" s="37">
        <v>21</v>
      </c>
      <c r="AO105" s="37">
        <f>G105*0</f>
        <v>0</v>
      </c>
      <c r="AP105" s="37">
        <f>G105*(1-0)</f>
        <v>0</v>
      </c>
      <c r="AQ105" s="68" t="s">
        <v>147</v>
      </c>
      <c r="AV105" s="37">
        <f t="shared" si="168"/>
        <v>0</v>
      </c>
      <c r="AW105" s="37">
        <f t="shared" si="169"/>
        <v>0</v>
      </c>
      <c r="AX105" s="37">
        <f t="shared" si="170"/>
        <v>0</v>
      </c>
      <c r="AY105" s="68" t="s">
        <v>407</v>
      </c>
      <c r="AZ105" s="68" t="s">
        <v>394</v>
      </c>
      <c r="BA105" s="49" t="s">
        <v>154</v>
      </c>
      <c r="BC105" s="37">
        <f t="shared" si="171"/>
        <v>0</v>
      </c>
      <c r="BD105" s="37">
        <f t="shared" si="172"/>
        <v>0</v>
      </c>
      <c r="BE105" s="37">
        <v>0</v>
      </c>
      <c r="BF105" s="37">
        <f>105</f>
        <v>105</v>
      </c>
      <c r="BH105" s="37">
        <f t="shared" si="173"/>
        <v>0</v>
      </c>
      <c r="BI105" s="37">
        <f t="shared" si="174"/>
        <v>0</v>
      </c>
      <c r="BJ105" s="37">
        <f t="shared" si="175"/>
        <v>0</v>
      </c>
      <c r="BK105" s="37"/>
      <c r="BL105" s="37">
        <v>96</v>
      </c>
      <c r="BW105" s="37">
        <v>21</v>
      </c>
      <c r="BX105" s="3" t="s">
        <v>410</v>
      </c>
    </row>
    <row r="106" spans="1:76" x14ac:dyDescent="0.25">
      <c r="A106" s="1" t="s">
        <v>411</v>
      </c>
      <c r="B106" s="2" t="s">
        <v>412</v>
      </c>
      <c r="C106" s="287" t="s">
        <v>413</v>
      </c>
      <c r="D106" s="284"/>
      <c r="E106" s="2" t="s">
        <v>150</v>
      </c>
      <c r="F106" s="37">
        <v>404.7</v>
      </c>
      <c r="G106" s="66">
        <v>0</v>
      </c>
      <c r="H106" s="37">
        <f t="shared" si="154"/>
        <v>0</v>
      </c>
      <c r="I106" s="37">
        <f t="shared" si="155"/>
        <v>0</v>
      </c>
      <c r="J106" s="37">
        <f t="shared" si="156"/>
        <v>0</v>
      </c>
      <c r="K106" s="67" t="s">
        <v>151</v>
      </c>
      <c r="Z106" s="37">
        <f t="shared" si="157"/>
        <v>0</v>
      </c>
      <c r="AB106" s="37">
        <f t="shared" si="158"/>
        <v>0</v>
      </c>
      <c r="AC106" s="37">
        <f t="shared" si="159"/>
        <v>0</v>
      </c>
      <c r="AD106" s="37">
        <f t="shared" si="160"/>
        <v>0</v>
      </c>
      <c r="AE106" s="37">
        <f t="shared" si="161"/>
        <v>0</v>
      </c>
      <c r="AF106" s="37">
        <f t="shared" si="162"/>
        <v>0</v>
      </c>
      <c r="AG106" s="37">
        <f t="shared" si="163"/>
        <v>0</v>
      </c>
      <c r="AH106" s="37">
        <f t="shared" si="164"/>
        <v>0</v>
      </c>
      <c r="AI106" s="49" t="s">
        <v>82</v>
      </c>
      <c r="AJ106" s="37">
        <f t="shared" si="165"/>
        <v>0</v>
      </c>
      <c r="AK106" s="37">
        <f t="shared" si="166"/>
        <v>0</v>
      </c>
      <c r="AL106" s="37">
        <f t="shared" si="167"/>
        <v>0</v>
      </c>
      <c r="AN106" s="37">
        <v>21</v>
      </c>
      <c r="AO106" s="37">
        <f>G106*0</f>
        <v>0</v>
      </c>
      <c r="AP106" s="37">
        <f>G106*(1-0)</f>
        <v>0</v>
      </c>
      <c r="AQ106" s="68" t="s">
        <v>147</v>
      </c>
      <c r="AV106" s="37">
        <f t="shared" si="168"/>
        <v>0</v>
      </c>
      <c r="AW106" s="37">
        <f t="shared" si="169"/>
        <v>0</v>
      </c>
      <c r="AX106" s="37">
        <f t="shared" si="170"/>
        <v>0</v>
      </c>
      <c r="AY106" s="68" t="s">
        <v>407</v>
      </c>
      <c r="AZ106" s="68" t="s">
        <v>394</v>
      </c>
      <c r="BA106" s="49" t="s">
        <v>154</v>
      </c>
      <c r="BC106" s="37">
        <f t="shared" si="171"/>
        <v>0</v>
      </c>
      <c r="BD106" s="37">
        <f t="shared" si="172"/>
        <v>0</v>
      </c>
      <c r="BE106" s="37">
        <v>0</v>
      </c>
      <c r="BF106" s="37">
        <f>106</f>
        <v>106</v>
      </c>
      <c r="BH106" s="37">
        <f t="shared" si="173"/>
        <v>0</v>
      </c>
      <c r="BI106" s="37">
        <f t="shared" si="174"/>
        <v>0</v>
      </c>
      <c r="BJ106" s="37">
        <f t="shared" si="175"/>
        <v>0</v>
      </c>
      <c r="BK106" s="37"/>
      <c r="BL106" s="37">
        <v>96</v>
      </c>
      <c r="BW106" s="37">
        <v>21</v>
      </c>
      <c r="BX106" s="3" t="s">
        <v>413</v>
      </c>
    </row>
    <row r="107" spans="1:76" x14ac:dyDescent="0.25">
      <c r="A107" s="1" t="s">
        <v>414</v>
      </c>
      <c r="B107" s="2" t="s">
        <v>415</v>
      </c>
      <c r="C107" s="287" t="s">
        <v>416</v>
      </c>
      <c r="D107" s="284"/>
      <c r="E107" s="2" t="s">
        <v>417</v>
      </c>
      <c r="F107" s="37">
        <v>26.305499999999999</v>
      </c>
      <c r="G107" s="66">
        <v>0</v>
      </c>
      <c r="H107" s="37">
        <f t="shared" si="154"/>
        <v>0</v>
      </c>
      <c r="I107" s="37">
        <f t="shared" si="155"/>
        <v>0</v>
      </c>
      <c r="J107" s="37">
        <f t="shared" si="156"/>
        <v>0</v>
      </c>
      <c r="K107" s="67" t="s">
        <v>151</v>
      </c>
      <c r="Z107" s="37">
        <f t="shared" si="157"/>
        <v>0</v>
      </c>
      <c r="AB107" s="37">
        <f t="shared" si="158"/>
        <v>0</v>
      </c>
      <c r="AC107" s="37">
        <f t="shared" si="159"/>
        <v>0</v>
      </c>
      <c r="AD107" s="37">
        <f t="shared" si="160"/>
        <v>0</v>
      </c>
      <c r="AE107" s="37">
        <f t="shared" si="161"/>
        <v>0</v>
      </c>
      <c r="AF107" s="37">
        <f t="shared" si="162"/>
        <v>0</v>
      </c>
      <c r="AG107" s="37">
        <f t="shared" si="163"/>
        <v>0</v>
      </c>
      <c r="AH107" s="37">
        <f t="shared" si="164"/>
        <v>0</v>
      </c>
      <c r="AI107" s="49" t="s">
        <v>82</v>
      </c>
      <c r="AJ107" s="37">
        <f t="shared" si="165"/>
        <v>0</v>
      </c>
      <c r="AK107" s="37">
        <f t="shared" si="166"/>
        <v>0</v>
      </c>
      <c r="AL107" s="37">
        <f t="shared" si="167"/>
        <v>0</v>
      </c>
      <c r="AN107" s="37">
        <v>21</v>
      </c>
      <c r="AO107" s="37">
        <f>G107*0</f>
        <v>0</v>
      </c>
      <c r="AP107" s="37">
        <f>G107*(1-0)</f>
        <v>0</v>
      </c>
      <c r="AQ107" s="68" t="s">
        <v>147</v>
      </c>
      <c r="AV107" s="37">
        <f t="shared" si="168"/>
        <v>0</v>
      </c>
      <c r="AW107" s="37">
        <f t="shared" si="169"/>
        <v>0</v>
      </c>
      <c r="AX107" s="37">
        <f t="shared" si="170"/>
        <v>0</v>
      </c>
      <c r="AY107" s="68" t="s">
        <v>407</v>
      </c>
      <c r="AZ107" s="68" t="s">
        <v>394</v>
      </c>
      <c r="BA107" s="49" t="s">
        <v>154</v>
      </c>
      <c r="BC107" s="37">
        <f t="shared" si="171"/>
        <v>0</v>
      </c>
      <c r="BD107" s="37">
        <f t="shared" si="172"/>
        <v>0</v>
      </c>
      <c r="BE107" s="37">
        <v>0</v>
      </c>
      <c r="BF107" s="37">
        <f>107</f>
        <v>107</v>
      </c>
      <c r="BH107" s="37">
        <f t="shared" si="173"/>
        <v>0</v>
      </c>
      <c r="BI107" s="37">
        <f t="shared" si="174"/>
        <v>0</v>
      </c>
      <c r="BJ107" s="37">
        <f t="shared" si="175"/>
        <v>0</v>
      </c>
      <c r="BK107" s="37"/>
      <c r="BL107" s="37">
        <v>96</v>
      </c>
      <c r="BW107" s="37">
        <v>21</v>
      </c>
      <c r="BX107" s="3" t="s">
        <v>416</v>
      </c>
    </row>
    <row r="108" spans="1:76" ht="25.5" x14ac:dyDescent="0.25">
      <c r="A108" s="1" t="s">
        <v>418</v>
      </c>
      <c r="B108" s="2" t="s">
        <v>419</v>
      </c>
      <c r="C108" s="287" t="s">
        <v>420</v>
      </c>
      <c r="D108" s="284"/>
      <c r="E108" s="2" t="s">
        <v>173</v>
      </c>
      <c r="F108" s="37">
        <v>91.462199999999996</v>
      </c>
      <c r="G108" s="66">
        <v>0</v>
      </c>
      <c r="H108" s="37">
        <f t="shared" si="154"/>
        <v>0</v>
      </c>
      <c r="I108" s="37">
        <f t="shared" si="155"/>
        <v>0</v>
      </c>
      <c r="J108" s="37">
        <f t="shared" si="156"/>
        <v>0</v>
      </c>
      <c r="K108" s="67" t="s">
        <v>151</v>
      </c>
      <c r="Z108" s="37">
        <f t="shared" si="157"/>
        <v>0</v>
      </c>
      <c r="AB108" s="37">
        <f t="shared" si="158"/>
        <v>0</v>
      </c>
      <c r="AC108" s="37">
        <f t="shared" si="159"/>
        <v>0</v>
      </c>
      <c r="AD108" s="37">
        <f t="shared" si="160"/>
        <v>0</v>
      </c>
      <c r="AE108" s="37">
        <f t="shared" si="161"/>
        <v>0</v>
      </c>
      <c r="AF108" s="37">
        <f t="shared" si="162"/>
        <v>0</v>
      </c>
      <c r="AG108" s="37">
        <f t="shared" si="163"/>
        <v>0</v>
      </c>
      <c r="AH108" s="37">
        <f t="shared" si="164"/>
        <v>0</v>
      </c>
      <c r="AI108" s="49" t="s">
        <v>82</v>
      </c>
      <c r="AJ108" s="37">
        <f t="shared" si="165"/>
        <v>0</v>
      </c>
      <c r="AK108" s="37">
        <f t="shared" si="166"/>
        <v>0</v>
      </c>
      <c r="AL108" s="37">
        <f t="shared" si="167"/>
        <v>0</v>
      </c>
      <c r="AN108" s="37">
        <v>21</v>
      </c>
      <c r="AO108" s="37">
        <f>G108*0</f>
        <v>0</v>
      </c>
      <c r="AP108" s="37">
        <f>G108*(1-0)</f>
        <v>0</v>
      </c>
      <c r="AQ108" s="68" t="s">
        <v>166</v>
      </c>
      <c r="AV108" s="37">
        <f t="shared" si="168"/>
        <v>0</v>
      </c>
      <c r="AW108" s="37">
        <f t="shared" si="169"/>
        <v>0</v>
      </c>
      <c r="AX108" s="37">
        <f t="shared" si="170"/>
        <v>0</v>
      </c>
      <c r="AY108" s="68" t="s">
        <v>407</v>
      </c>
      <c r="AZ108" s="68" t="s">
        <v>394</v>
      </c>
      <c r="BA108" s="49" t="s">
        <v>154</v>
      </c>
      <c r="BC108" s="37">
        <f t="shared" si="171"/>
        <v>0</v>
      </c>
      <c r="BD108" s="37">
        <f t="shared" si="172"/>
        <v>0</v>
      </c>
      <c r="BE108" s="37">
        <v>0</v>
      </c>
      <c r="BF108" s="37">
        <f>108</f>
        <v>108</v>
      </c>
      <c r="BH108" s="37">
        <f t="shared" si="173"/>
        <v>0</v>
      </c>
      <c r="BI108" s="37">
        <f t="shared" si="174"/>
        <v>0</v>
      </c>
      <c r="BJ108" s="37">
        <f t="shared" si="175"/>
        <v>0</v>
      </c>
      <c r="BK108" s="37"/>
      <c r="BL108" s="37">
        <v>96</v>
      </c>
      <c r="BW108" s="37">
        <v>21</v>
      </c>
      <c r="BX108" s="3" t="s">
        <v>420</v>
      </c>
    </row>
    <row r="109" spans="1:76" x14ac:dyDescent="0.25">
      <c r="A109" s="1" t="s">
        <v>421</v>
      </c>
      <c r="B109" s="2" t="s">
        <v>422</v>
      </c>
      <c r="C109" s="287" t="s">
        <v>423</v>
      </c>
      <c r="D109" s="284"/>
      <c r="E109" s="2" t="s">
        <v>191</v>
      </c>
      <c r="F109" s="37">
        <v>17</v>
      </c>
      <c r="G109" s="66">
        <v>0</v>
      </c>
      <c r="H109" s="37">
        <f t="shared" si="154"/>
        <v>0</v>
      </c>
      <c r="I109" s="37">
        <f t="shared" si="155"/>
        <v>0</v>
      </c>
      <c r="J109" s="37">
        <f t="shared" si="156"/>
        <v>0</v>
      </c>
      <c r="K109" s="67" t="s">
        <v>151</v>
      </c>
      <c r="Z109" s="37">
        <f t="shared" si="157"/>
        <v>0</v>
      </c>
      <c r="AB109" s="37">
        <f t="shared" si="158"/>
        <v>0</v>
      </c>
      <c r="AC109" s="37">
        <f t="shared" si="159"/>
        <v>0</v>
      </c>
      <c r="AD109" s="37">
        <f t="shared" si="160"/>
        <v>0</v>
      </c>
      <c r="AE109" s="37">
        <f t="shared" si="161"/>
        <v>0</v>
      </c>
      <c r="AF109" s="37">
        <f t="shared" si="162"/>
        <v>0</v>
      </c>
      <c r="AG109" s="37">
        <f t="shared" si="163"/>
        <v>0</v>
      </c>
      <c r="AH109" s="37">
        <f t="shared" si="164"/>
        <v>0</v>
      </c>
      <c r="AI109" s="49" t="s">
        <v>82</v>
      </c>
      <c r="AJ109" s="37">
        <f t="shared" si="165"/>
        <v>0</v>
      </c>
      <c r="AK109" s="37">
        <f t="shared" si="166"/>
        <v>0</v>
      </c>
      <c r="AL109" s="37">
        <f t="shared" si="167"/>
        <v>0</v>
      </c>
      <c r="AN109" s="37">
        <v>21</v>
      </c>
      <c r="AO109" s="37">
        <f>G109*0.164193548</f>
        <v>0</v>
      </c>
      <c r="AP109" s="37">
        <f>G109*(1-0.164193548)</f>
        <v>0</v>
      </c>
      <c r="AQ109" s="68" t="s">
        <v>147</v>
      </c>
      <c r="AV109" s="37">
        <f t="shared" si="168"/>
        <v>0</v>
      </c>
      <c r="AW109" s="37">
        <f t="shared" si="169"/>
        <v>0</v>
      </c>
      <c r="AX109" s="37">
        <f t="shared" si="170"/>
        <v>0</v>
      </c>
      <c r="AY109" s="68" t="s">
        <v>407</v>
      </c>
      <c r="AZ109" s="68" t="s">
        <v>394</v>
      </c>
      <c r="BA109" s="49" t="s">
        <v>154</v>
      </c>
      <c r="BC109" s="37">
        <f t="shared" si="171"/>
        <v>0</v>
      </c>
      <c r="BD109" s="37">
        <f t="shared" si="172"/>
        <v>0</v>
      </c>
      <c r="BE109" s="37">
        <v>0</v>
      </c>
      <c r="BF109" s="37">
        <f>109</f>
        <v>109</v>
      </c>
      <c r="BH109" s="37">
        <f t="shared" si="173"/>
        <v>0</v>
      </c>
      <c r="BI109" s="37">
        <f t="shared" si="174"/>
        <v>0</v>
      </c>
      <c r="BJ109" s="37">
        <f t="shared" si="175"/>
        <v>0</v>
      </c>
      <c r="BK109" s="37"/>
      <c r="BL109" s="37">
        <v>96</v>
      </c>
      <c r="BW109" s="37">
        <v>21</v>
      </c>
      <c r="BX109" s="3" t="s">
        <v>423</v>
      </c>
    </row>
    <row r="110" spans="1:76" x14ac:dyDescent="0.25">
      <c r="A110" s="1" t="s">
        <v>424</v>
      </c>
      <c r="B110" s="2" t="s">
        <v>425</v>
      </c>
      <c r="C110" s="287" t="s">
        <v>426</v>
      </c>
      <c r="D110" s="284"/>
      <c r="E110" s="2" t="s">
        <v>173</v>
      </c>
      <c r="F110" s="37">
        <v>92.101230000000001</v>
      </c>
      <c r="G110" s="66">
        <v>0</v>
      </c>
      <c r="H110" s="37">
        <f t="shared" si="154"/>
        <v>0</v>
      </c>
      <c r="I110" s="37">
        <f t="shared" si="155"/>
        <v>0</v>
      </c>
      <c r="J110" s="37">
        <f t="shared" si="156"/>
        <v>0</v>
      </c>
      <c r="K110" s="67" t="s">
        <v>151</v>
      </c>
      <c r="Z110" s="37">
        <f t="shared" si="157"/>
        <v>0</v>
      </c>
      <c r="AB110" s="37">
        <f t="shared" si="158"/>
        <v>0</v>
      </c>
      <c r="AC110" s="37">
        <f t="shared" si="159"/>
        <v>0</v>
      </c>
      <c r="AD110" s="37">
        <f t="shared" si="160"/>
        <v>0</v>
      </c>
      <c r="AE110" s="37">
        <f t="shared" si="161"/>
        <v>0</v>
      </c>
      <c r="AF110" s="37">
        <f t="shared" si="162"/>
        <v>0</v>
      </c>
      <c r="AG110" s="37">
        <f t="shared" si="163"/>
        <v>0</v>
      </c>
      <c r="AH110" s="37">
        <f t="shared" si="164"/>
        <v>0</v>
      </c>
      <c r="AI110" s="49" t="s">
        <v>82</v>
      </c>
      <c r="AJ110" s="37">
        <f t="shared" si="165"/>
        <v>0</v>
      </c>
      <c r="AK110" s="37">
        <f t="shared" si="166"/>
        <v>0</v>
      </c>
      <c r="AL110" s="37">
        <f t="shared" si="167"/>
        <v>0</v>
      </c>
      <c r="AN110" s="37">
        <v>21</v>
      </c>
      <c r="AO110" s="37">
        <f t="shared" ref="AO110:AO115" si="176">G110*0</f>
        <v>0</v>
      </c>
      <c r="AP110" s="37">
        <f t="shared" ref="AP110:AP115" si="177">G110*(1-0)</f>
        <v>0</v>
      </c>
      <c r="AQ110" s="68" t="s">
        <v>166</v>
      </c>
      <c r="AV110" s="37">
        <f t="shared" si="168"/>
        <v>0</v>
      </c>
      <c r="AW110" s="37">
        <f t="shared" si="169"/>
        <v>0</v>
      </c>
      <c r="AX110" s="37">
        <f t="shared" si="170"/>
        <v>0</v>
      </c>
      <c r="AY110" s="68" t="s">
        <v>407</v>
      </c>
      <c r="AZ110" s="68" t="s">
        <v>394</v>
      </c>
      <c r="BA110" s="49" t="s">
        <v>154</v>
      </c>
      <c r="BC110" s="37">
        <f t="shared" si="171"/>
        <v>0</v>
      </c>
      <c r="BD110" s="37">
        <f t="shared" si="172"/>
        <v>0</v>
      </c>
      <c r="BE110" s="37">
        <v>0</v>
      </c>
      <c r="BF110" s="37">
        <f>110</f>
        <v>110</v>
      </c>
      <c r="BH110" s="37">
        <f t="shared" si="173"/>
        <v>0</v>
      </c>
      <c r="BI110" s="37">
        <f t="shared" si="174"/>
        <v>0</v>
      </c>
      <c r="BJ110" s="37">
        <f t="shared" si="175"/>
        <v>0</v>
      </c>
      <c r="BK110" s="37"/>
      <c r="BL110" s="37">
        <v>96</v>
      </c>
      <c r="BW110" s="37">
        <v>21</v>
      </c>
      <c r="BX110" s="3" t="s">
        <v>426</v>
      </c>
    </row>
    <row r="111" spans="1:76" x14ac:dyDescent="0.25">
      <c r="A111" s="1" t="s">
        <v>427</v>
      </c>
      <c r="B111" s="2" t="s">
        <v>428</v>
      </c>
      <c r="C111" s="287" t="s">
        <v>429</v>
      </c>
      <c r="D111" s="284"/>
      <c r="E111" s="2" t="s">
        <v>173</v>
      </c>
      <c r="F111" s="37">
        <v>0.63902999999999999</v>
      </c>
      <c r="G111" s="66">
        <v>0</v>
      </c>
      <c r="H111" s="37">
        <f t="shared" si="154"/>
        <v>0</v>
      </c>
      <c r="I111" s="37">
        <f t="shared" si="155"/>
        <v>0</v>
      </c>
      <c r="J111" s="37">
        <f t="shared" si="156"/>
        <v>0</v>
      </c>
      <c r="K111" s="67" t="s">
        <v>151</v>
      </c>
      <c r="Z111" s="37">
        <f t="shared" si="157"/>
        <v>0</v>
      </c>
      <c r="AB111" s="37">
        <f t="shared" si="158"/>
        <v>0</v>
      </c>
      <c r="AC111" s="37">
        <f t="shared" si="159"/>
        <v>0</v>
      </c>
      <c r="AD111" s="37">
        <f t="shared" si="160"/>
        <v>0</v>
      </c>
      <c r="AE111" s="37">
        <f t="shared" si="161"/>
        <v>0</v>
      </c>
      <c r="AF111" s="37">
        <f t="shared" si="162"/>
        <v>0</v>
      </c>
      <c r="AG111" s="37">
        <f t="shared" si="163"/>
        <v>0</v>
      </c>
      <c r="AH111" s="37">
        <f t="shared" si="164"/>
        <v>0</v>
      </c>
      <c r="AI111" s="49" t="s">
        <v>82</v>
      </c>
      <c r="AJ111" s="37">
        <f t="shared" si="165"/>
        <v>0</v>
      </c>
      <c r="AK111" s="37">
        <f t="shared" si="166"/>
        <v>0</v>
      </c>
      <c r="AL111" s="37">
        <f t="shared" si="167"/>
        <v>0</v>
      </c>
      <c r="AN111" s="37">
        <v>21</v>
      </c>
      <c r="AO111" s="37">
        <f t="shared" si="176"/>
        <v>0</v>
      </c>
      <c r="AP111" s="37">
        <f t="shared" si="177"/>
        <v>0</v>
      </c>
      <c r="AQ111" s="68" t="s">
        <v>166</v>
      </c>
      <c r="AV111" s="37">
        <f t="shared" si="168"/>
        <v>0</v>
      </c>
      <c r="AW111" s="37">
        <f t="shared" si="169"/>
        <v>0</v>
      </c>
      <c r="AX111" s="37">
        <f t="shared" si="170"/>
        <v>0</v>
      </c>
      <c r="AY111" s="68" t="s">
        <v>407</v>
      </c>
      <c r="AZ111" s="68" t="s">
        <v>394</v>
      </c>
      <c r="BA111" s="49" t="s">
        <v>154</v>
      </c>
      <c r="BC111" s="37">
        <f t="shared" si="171"/>
        <v>0</v>
      </c>
      <c r="BD111" s="37">
        <f t="shared" si="172"/>
        <v>0</v>
      </c>
      <c r="BE111" s="37">
        <v>0</v>
      </c>
      <c r="BF111" s="37">
        <f>111</f>
        <v>111</v>
      </c>
      <c r="BH111" s="37">
        <f t="shared" si="173"/>
        <v>0</v>
      </c>
      <c r="BI111" s="37">
        <f t="shared" si="174"/>
        <v>0</v>
      </c>
      <c r="BJ111" s="37">
        <f t="shared" si="175"/>
        <v>0</v>
      </c>
      <c r="BK111" s="37"/>
      <c r="BL111" s="37">
        <v>96</v>
      </c>
      <c r="BW111" s="37">
        <v>21</v>
      </c>
      <c r="BX111" s="3" t="s">
        <v>429</v>
      </c>
    </row>
    <row r="112" spans="1:76" x14ac:dyDescent="0.25">
      <c r="A112" s="1" t="s">
        <v>430</v>
      </c>
      <c r="B112" s="2" t="s">
        <v>431</v>
      </c>
      <c r="C112" s="287" t="s">
        <v>432</v>
      </c>
      <c r="D112" s="284"/>
      <c r="E112" s="2" t="s">
        <v>173</v>
      </c>
      <c r="F112" s="37">
        <v>1382.7334499999999</v>
      </c>
      <c r="G112" s="66">
        <v>0</v>
      </c>
      <c r="H112" s="37">
        <f t="shared" si="154"/>
        <v>0</v>
      </c>
      <c r="I112" s="37">
        <f t="shared" si="155"/>
        <v>0</v>
      </c>
      <c r="J112" s="37">
        <f t="shared" si="156"/>
        <v>0</v>
      </c>
      <c r="K112" s="67" t="s">
        <v>151</v>
      </c>
      <c r="Z112" s="37">
        <f t="shared" si="157"/>
        <v>0</v>
      </c>
      <c r="AB112" s="37">
        <f t="shared" si="158"/>
        <v>0</v>
      </c>
      <c r="AC112" s="37">
        <f t="shared" si="159"/>
        <v>0</v>
      </c>
      <c r="AD112" s="37">
        <f t="shared" si="160"/>
        <v>0</v>
      </c>
      <c r="AE112" s="37">
        <f t="shared" si="161"/>
        <v>0</v>
      </c>
      <c r="AF112" s="37">
        <f t="shared" si="162"/>
        <v>0</v>
      </c>
      <c r="AG112" s="37">
        <f t="shared" si="163"/>
        <v>0</v>
      </c>
      <c r="AH112" s="37">
        <f t="shared" si="164"/>
        <v>0</v>
      </c>
      <c r="AI112" s="49" t="s">
        <v>82</v>
      </c>
      <c r="AJ112" s="37">
        <f t="shared" si="165"/>
        <v>0</v>
      </c>
      <c r="AK112" s="37">
        <f t="shared" si="166"/>
        <v>0</v>
      </c>
      <c r="AL112" s="37">
        <f t="shared" si="167"/>
        <v>0</v>
      </c>
      <c r="AN112" s="37">
        <v>21</v>
      </c>
      <c r="AO112" s="37">
        <f t="shared" si="176"/>
        <v>0</v>
      </c>
      <c r="AP112" s="37">
        <f t="shared" si="177"/>
        <v>0</v>
      </c>
      <c r="AQ112" s="68" t="s">
        <v>166</v>
      </c>
      <c r="AV112" s="37">
        <f t="shared" si="168"/>
        <v>0</v>
      </c>
      <c r="AW112" s="37">
        <f t="shared" si="169"/>
        <v>0</v>
      </c>
      <c r="AX112" s="37">
        <f t="shared" si="170"/>
        <v>0</v>
      </c>
      <c r="AY112" s="68" t="s">
        <v>407</v>
      </c>
      <c r="AZ112" s="68" t="s">
        <v>394</v>
      </c>
      <c r="BA112" s="49" t="s">
        <v>154</v>
      </c>
      <c r="BC112" s="37">
        <f t="shared" si="171"/>
        <v>0</v>
      </c>
      <c r="BD112" s="37">
        <f t="shared" si="172"/>
        <v>0</v>
      </c>
      <c r="BE112" s="37">
        <v>0</v>
      </c>
      <c r="BF112" s="37">
        <f>112</f>
        <v>112</v>
      </c>
      <c r="BH112" s="37">
        <f t="shared" si="173"/>
        <v>0</v>
      </c>
      <c r="BI112" s="37">
        <f t="shared" si="174"/>
        <v>0</v>
      </c>
      <c r="BJ112" s="37">
        <f t="shared" si="175"/>
        <v>0</v>
      </c>
      <c r="BK112" s="37"/>
      <c r="BL112" s="37">
        <v>96</v>
      </c>
      <c r="BW112" s="37">
        <v>21</v>
      </c>
      <c r="BX112" s="3" t="s">
        <v>432</v>
      </c>
    </row>
    <row r="113" spans="1:76" x14ac:dyDescent="0.25">
      <c r="A113" s="1" t="s">
        <v>433</v>
      </c>
      <c r="B113" s="2" t="s">
        <v>434</v>
      </c>
      <c r="C113" s="287" t="s">
        <v>435</v>
      </c>
      <c r="D113" s="284"/>
      <c r="E113" s="2" t="s">
        <v>173</v>
      </c>
      <c r="F113" s="37">
        <v>92.182230000000004</v>
      </c>
      <c r="G113" s="66">
        <v>0</v>
      </c>
      <c r="H113" s="37">
        <f t="shared" si="154"/>
        <v>0</v>
      </c>
      <c r="I113" s="37">
        <f t="shared" si="155"/>
        <v>0</v>
      </c>
      <c r="J113" s="37">
        <f t="shared" si="156"/>
        <v>0</v>
      </c>
      <c r="K113" s="67" t="s">
        <v>151</v>
      </c>
      <c r="Z113" s="37">
        <f t="shared" si="157"/>
        <v>0</v>
      </c>
      <c r="AB113" s="37">
        <f t="shared" si="158"/>
        <v>0</v>
      </c>
      <c r="AC113" s="37">
        <f t="shared" si="159"/>
        <v>0</v>
      </c>
      <c r="AD113" s="37">
        <f t="shared" si="160"/>
        <v>0</v>
      </c>
      <c r="AE113" s="37">
        <f t="shared" si="161"/>
        <v>0</v>
      </c>
      <c r="AF113" s="37">
        <f t="shared" si="162"/>
        <v>0</v>
      </c>
      <c r="AG113" s="37">
        <f t="shared" si="163"/>
        <v>0</v>
      </c>
      <c r="AH113" s="37">
        <f t="shared" si="164"/>
        <v>0</v>
      </c>
      <c r="AI113" s="49" t="s">
        <v>82</v>
      </c>
      <c r="AJ113" s="37">
        <f t="shared" si="165"/>
        <v>0</v>
      </c>
      <c r="AK113" s="37">
        <f t="shared" si="166"/>
        <v>0</v>
      </c>
      <c r="AL113" s="37">
        <f t="shared" si="167"/>
        <v>0</v>
      </c>
      <c r="AN113" s="37">
        <v>21</v>
      </c>
      <c r="AO113" s="37">
        <f t="shared" si="176"/>
        <v>0</v>
      </c>
      <c r="AP113" s="37">
        <f t="shared" si="177"/>
        <v>0</v>
      </c>
      <c r="AQ113" s="68" t="s">
        <v>166</v>
      </c>
      <c r="AV113" s="37">
        <f t="shared" si="168"/>
        <v>0</v>
      </c>
      <c r="AW113" s="37">
        <f t="shared" si="169"/>
        <v>0</v>
      </c>
      <c r="AX113" s="37">
        <f t="shared" si="170"/>
        <v>0</v>
      </c>
      <c r="AY113" s="68" t="s">
        <v>407</v>
      </c>
      <c r="AZ113" s="68" t="s">
        <v>394</v>
      </c>
      <c r="BA113" s="49" t="s">
        <v>154</v>
      </c>
      <c r="BC113" s="37">
        <f t="shared" si="171"/>
        <v>0</v>
      </c>
      <c r="BD113" s="37">
        <f t="shared" si="172"/>
        <v>0</v>
      </c>
      <c r="BE113" s="37">
        <v>0</v>
      </c>
      <c r="BF113" s="37">
        <f>113</f>
        <v>113</v>
      </c>
      <c r="BH113" s="37">
        <f t="shared" si="173"/>
        <v>0</v>
      </c>
      <c r="BI113" s="37">
        <f t="shared" si="174"/>
        <v>0</v>
      </c>
      <c r="BJ113" s="37">
        <f t="shared" si="175"/>
        <v>0</v>
      </c>
      <c r="BK113" s="37"/>
      <c r="BL113" s="37">
        <v>96</v>
      </c>
      <c r="BW113" s="37">
        <v>21</v>
      </c>
      <c r="BX113" s="3" t="s">
        <v>435</v>
      </c>
    </row>
    <row r="114" spans="1:76" x14ac:dyDescent="0.25">
      <c r="A114" s="1" t="s">
        <v>436</v>
      </c>
      <c r="B114" s="2" t="s">
        <v>437</v>
      </c>
      <c r="C114" s="287" t="s">
        <v>438</v>
      </c>
      <c r="D114" s="284"/>
      <c r="E114" s="2" t="s">
        <v>173</v>
      </c>
      <c r="F114" s="37">
        <v>184.36446000000001</v>
      </c>
      <c r="G114" s="66">
        <v>0</v>
      </c>
      <c r="H114" s="37">
        <f t="shared" si="154"/>
        <v>0</v>
      </c>
      <c r="I114" s="37">
        <f t="shared" si="155"/>
        <v>0</v>
      </c>
      <c r="J114" s="37">
        <f t="shared" si="156"/>
        <v>0</v>
      </c>
      <c r="K114" s="67" t="s">
        <v>151</v>
      </c>
      <c r="Z114" s="37">
        <f t="shared" si="157"/>
        <v>0</v>
      </c>
      <c r="AB114" s="37">
        <f t="shared" si="158"/>
        <v>0</v>
      </c>
      <c r="AC114" s="37">
        <f t="shared" si="159"/>
        <v>0</v>
      </c>
      <c r="AD114" s="37">
        <f t="shared" si="160"/>
        <v>0</v>
      </c>
      <c r="AE114" s="37">
        <f t="shared" si="161"/>
        <v>0</v>
      </c>
      <c r="AF114" s="37">
        <f t="shared" si="162"/>
        <v>0</v>
      </c>
      <c r="AG114" s="37">
        <f t="shared" si="163"/>
        <v>0</v>
      </c>
      <c r="AH114" s="37">
        <f t="shared" si="164"/>
        <v>0</v>
      </c>
      <c r="AI114" s="49" t="s">
        <v>82</v>
      </c>
      <c r="AJ114" s="37">
        <f t="shared" si="165"/>
        <v>0</v>
      </c>
      <c r="AK114" s="37">
        <f t="shared" si="166"/>
        <v>0</v>
      </c>
      <c r="AL114" s="37">
        <f t="shared" si="167"/>
        <v>0</v>
      </c>
      <c r="AN114" s="37">
        <v>21</v>
      </c>
      <c r="AO114" s="37">
        <f t="shared" si="176"/>
        <v>0</v>
      </c>
      <c r="AP114" s="37">
        <f t="shared" si="177"/>
        <v>0</v>
      </c>
      <c r="AQ114" s="68" t="s">
        <v>166</v>
      </c>
      <c r="AV114" s="37">
        <f t="shared" si="168"/>
        <v>0</v>
      </c>
      <c r="AW114" s="37">
        <f t="shared" si="169"/>
        <v>0</v>
      </c>
      <c r="AX114" s="37">
        <f t="shared" si="170"/>
        <v>0</v>
      </c>
      <c r="AY114" s="68" t="s">
        <v>407</v>
      </c>
      <c r="AZ114" s="68" t="s">
        <v>394</v>
      </c>
      <c r="BA114" s="49" t="s">
        <v>154</v>
      </c>
      <c r="BC114" s="37">
        <f t="shared" si="171"/>
        <v>0</v>
      </c>
      <c r="BD114" s="37">
        <f t="shared" si="172"/>
        <v>0</v>
      </c>
      <c r="BE114" s="37">
        <v>0</v>
      </c>
      <c r="BF114" s="37">
        <f>114</f>
        <v>114</v>
      </c>
      <c r="BH114" s="37">
        <f t="shared" si="173"/>
        <v>0</v>
      </c>
      <c r="BI114" s="37">
        <f t="shared" si="174"/>
        <v>0</v>
      </c>
      <c r="BJ114" s="37">
        <f t="shared" si="175"/>
        <v>0</v>
      </c>
      <c r="BK114" s="37"/>
      <c r="BL114" s="37">
        <v>96</v>
      </c>
      <c r="BW114" s="37">
        <v>21</v>
      </c>
      <c r="BX114" s="3" t="s">
        <v>438</v>
      </c>
    </row>
    <row r="115" spans="1:76" x14ac:dyDescent="0.25">
      <c r="A115" s="1" t="s">
        <v>439</v>
      </c>
      <c r="B115" s="2" t="s">
        <v>440</v>
      </c>
      <c r="C115" s="287" t="s">
        <v>441</v>
      </c>
      <c r="D115" s="284"/>
      <c r="E115" s="2" t="s">
        <v>173</v>
      </c>
      <c r="F115" s="37">
        <v>92.182230000000004</v>
      </c>
      <c r="G115" s="66">
        <v>0</v>
      </c>
      <c r="H115" s="37">
        <f t="shared" si="154"/>
        <v>0</v>
      </c>
      <c r="I115" s="37">
        <f t="shared" si="155"/>
        <v>0</v>
      </c>
      <c r="J115" s="37">
        <f t="shared" si="156"/>
        <v>0</v>
      </c>
      <c r="K115" s="67" t="s">
        <v>151</v>
      </c>
      <c r="Z115" s="37">
        <f t="shared" si="157"/>
        <v>0</v>
      </c>
      <c r="AB115" s="37">
        <f t="shared" si="158"/>
        <v>0</v>
      </c>
      <c r="AC115" s="37">
        <f t="shared" si="159"/>
        <v>0</v>
      </c>
      <c r="AD115" s="37">
        <f t="shared" si="160"/>
        <v>0</v>
      </c>
      <c r="AE115" s="37">
        <f t="shared" si="161"/>
        <v>0</v>
      </c>
      <c r="AF115" s="37">
        <f t="shared" si="162"/>
        <v>0</v>
      </c>
      <c r="AG115" s="37">
        <f t="shared" si="163"/>
        <v>0</v>
      </c>
      <c r="AH115" s="37">
        <f t="shared" si="164"/>
        <v>0</v>
      </c>
      <c r="AI115" s="49" t="s">
        <v>82</v>
      </c>
      <c r="AJ115" s="37">
        <f t="shared" si="165"/>
        <v>0</v>
      </c>
      <c r="AK115" s="37">
        <f t="shared" si="166"/>
        <v>0</v>
      </c>
      <c r="AL115" s="37">
        <f t="shared" si="167"/>
        <v>0</v>
      </c>
      <c r="AN115" s="37">
        <v>21</v>
      </c>
      <c r="AO115" s="37">
        <f t="shared" si="176"/>
        <v>0</v>
      </c>
      <c r="AP115" s="37">
        <f t="shared" si="177"/>
        <v>0</v>
      </c>
      <c r="AQ115" s="68" t="s">
        <v>166</v>
      </c>
      <c r="AV115" s="37">
        <f t="shared" si="168"/>
        <v>0</v>
      </c>
      <c r="AW115" s="37">
        <f t="shared" si="169"/>
        <v>0</v>
      </c>
      <c r="AX115" s="37">
        <f t="shared" si="170"/>
        <v>0</v>
      </c>
      <c r="AY115" s="68" t="s">
        <v>407</v>
      </c>
      <c r="AZ115" s="68" t="s">
        <v>394</v>
      </c>
      <c r="BA115" s="49" t="s">
        <v>154</v>
      </c>
      <c r="BC115" s="37">
        <f t="shared" si="171"/>
        <v>0</v>
      </c>
      <c r="BD115" s="37">
        <f t="shared" si="172"/>
        <v>0</v>
      </c>
      <c r="BE115" s="37">
        <v>0</v>
      </c>
      <c r="BF115" s="37">
        <f>115</f>
        <v>115</v>
      </c>
      <c r="BH115" s="37">
        <f t="shared" si="173"/>
        <v>0</v>
      </c>
      <c r="BI115" s="37">
        <f t="shared" si="174"/>
        <v>0</v>
      </c>
      <c r="BJ115" s="37">
        <f t="shared" si="175"/>
        <v>0</v>
      </c>
      <c r="BK115" s="37"/>
      <c r="BL115" s="37">
        <v>96</v>
      </c>
      <c r="BW115" s="37">
        <v>21</v>
      </c>
      <c r="BX115" s="3" t="s">
        <v>441</v>
      </c>
    </row>
    <row r="116" spans="1:76" x14ac:dyDescent="0.25">
      <c r="A116" s="61" t="s">
        <v>4</v>
      </c>
      <c r="B116" s="62" t="s">
        <v>4</v>
      </c>
      <c r="C116" s="370" t="s">
        <v>112</v>
      </c>
      <c r="D116" s="371"/>
      <c r="E116" s="63" t="s">
        <v>74</v>
      </c>
      <c r="F116" s="63" t="s">
        <v>74</v>
      </c>
      <c r="G116" s="64" t="s">
        <v>74</v>
      </c>
      <c r="H116" s="43">
        <f>H117</f>
        <v>0</v>
      </c>
      <c r="I116" s="43">
        <f>I117</f>
        <v>0</v>
      </c>
      <c r="J116" s="43">
        <f>J117</f>
        <v>0</v>
      </c>
      <c r="K116" s="65" t="s">
        <v>4</v>
      </c>
    </row>
    <row r="117" spans="1:76" x14ac:dyDescent="0.25">
      <c r="A117" s="61" t="s">
        <v>4</v>
      </c>
      <c r="B117" s="62" t="s">
        <v>114</v>
      </c>
      <c r="C117" s="370" t="s">
        <v>115</v>
      </c>
      <c r="D117" s="371"/>
      <c r="E117" s="63" t="s">
        <v>74</v>
      </c>
      <c r="F117" s="63" t="s">
        <v>74</v>
      </c>
      <c r="G117" s="64" t="s">
        <v>74</v>
      </c>
      <c r="H117" s="43">
        <f>SUM(H118:H118)</f>
        <v>0</v>
      </c>
      <c r="I117" s="43">
        <f>SUM(I118:I118)</f>
        <v>0</v>
      </c>
      <c r="J117" s="43">
        <f>SUM(J118:J118)</f>
        <v>0</v>
      </c>
      <c r="K117" s="65" t="s">
        <v>4</v>
      </c>
      <c r="AI117" s="49" t="s">
        <v>113</v>
      </c>
      <c r="AS117" s="43">
        <f>SUM(AJ118:AJ118)</f>
        <v>0</v>
      </c>
      <c r="AT117" s="43">
        <f>SUM(AK118:AK118)</f>
        <v>0</v>
      </c>
      <c r="AU117" s="43">
        <f>SUM(AL118:AL118)</f>
        <v>0</v>
      </c>
    </row>
    <row r="118" spans="1:76" x14ac:dyDescent="0.25">
      <c r="A118" s="4" t="s">
        <v>442</v>
      </c>
      <c r="B118" s="5" t="s">
        <v>443</v>
      </c>
      <c r="C118" s="377" t="s">
        <v>444</v>
      </c>
      <c r="D118" s="294"/>
      <c r="E118" s="5" t="s">
        <v>402</v>
      </c>
      <c r="F118" s="39">
        <v>1</v>
      </c>
      <c r="G118" s="69">
        <f>materiál!G35+montáž!G46</f>
        <v>0</v>
      </c>
      <c r="H118" s="39">
        <f>F118*AO118</f>
        <v>0</v>
      </c>
      <c r="I118" s="39">
        <f>F118*AP118</f>
        <v>0</v>
      </c>
      <c r="J118" s="39">
        <f>F118*G118</f>
        <v>0</v>
      </c>
      <c r="K118" s="70" t="s">
        <v>4</v>
      </c>
      <c r="Z118" s="37">
        <f>IF(AQ118="5",BJ118,0)</f>
        <v>0</v>
      </c>
      <c r="AB118" s="37">
        <f>IF(AQ118="1",BH118,0)</f>
        <v>0</v>
      </c>
      <c r="AC118" s="37">
        <f>IF(AQ118="1",BI118,0)</f>
        <v>0</v>
      </c>
      <c r="AD118" s="37">
        <f>IF(AQ118="7",BH118,0)</f>
        <v>0</v>
      </c>
      <c r="AE118" s="37">
        <f>IF(AQ118="7",BI118,0)</f>
        <v>0</v>
      </c>
      <c r="AF118" s="37">
        <f>IF(AQ118="2",BH118,0)</f>
        <v>0</v>
      </c>
      <c r="AG118" s="37">
        <f>IF(AQ118="2",BI118,0)</f>
        <v>0</v>
      </c>
      <c r="AH118" s="37">
        <f>IF(AQ118="0",BJ118,0)</f>
        <v>0</v>
      </c>
      <c r="AI118" s="49" t="s">
        <v>113</v>
      </c>
      <c r="AJ118" s="37">
        <f>IF(AN118=0,J118,0)</f>
        <v>0</v>
      </c>
      <c r="AK118" s="37">
        <f>IF(AN118=12,J118,0)</f>
        <v>0</v>
      </c>
      <c r="AL118" s="37">
        <f>IF(AN118=21,J118,0)</f>
        <v>0</v>
      </c>
      <c r="AN118" s="37">
        <v>21</v>
      </c>
      <c r="AO118" s="37">
        <f>G118*0.626952559</f>
        <v>0</v>
      </c>
      <c r="AP118" s="37">
        <f>G118*(1-0.626952559)</f>
        <v>0</v>
      </c>
      <c r="AQ118" s="68" t="s">
        <v>155</v>
      </c>
      <c r="AV118" s="37">
        <f>AW118+AX118</f>
        <v>0</v>
      </c>
      <c r="AW118" s="37">
        <f>F118*AO118</f>
        <v>0</v>
      </c>
      <c r="AX118" s="37">
        <f>F118*AP118</f>
        <v>0</v>
      </c>
      <c r="AY118" s="68" t="s">
        <v>445</v>
      </c>
      <c r="AZ118" s="68" t="s">
        <v>446</v>
      </c>
      <c r="BA118" s="49" t="s">
        <v>447</v>
      </c>
      <c r="BC118" s="37">
        <f>AW118+AX118</f>
        <v>0</v>
      </c>
      <c r="BD118" s="37">
        <f>G118/(100-BE118)*100</f>
        <v>0</v>
      </c>
      <c r="BE118" s="37">
        <v>0</v>
      </c>
      <c r="BF118" s="37">
        <f>118</f>
        <v>118</v>
      </c>
      <c r="BH118" s="37">
        <f>F118*AO118</f>
        <v>0</v>
      </c>
      <c r="BI118" s="37">
        <f>F118*AP118</f>
        <v>0</v>
      </c>
      <c r="BJ118" s="37">
        <f>F118*G118</f>
        <v>0</v>
      </c>
      <c r="BK118" s="37"/>
      <c r="BL118" s="37"/>
      <c r="BW118" s="37">
        <v>21</v>
      </c>
      <c r="BX118" s="3" t="s">
        <v>444</v>
      </c>
    </row>
    <row r="119" spans="1:76" x14ac:dyDescent="0.25">
      <c r="H119" s="363" t="s">
        <v>116</v>
      </c>
      <c r="I119" s="363"/>
      <c r="J119" s="41">
        <f>J13+J15+J19+J22+J27+J40+J55+J66+J76+J83+J90+J97+J99+J103+J117</f>
        <v>0</v>
      </c>
    </row>
    <row r="120" spans="1:76" x14ac:dyDescent="0.25">
      <c r="A120" s="42" t="s">
        <v>56</v>
      </c>
    </row>
    <row r="121" spans="1:76" ht="40.5" customHeight="1" x14ac:dyDescent="0.25">
      <c r="A121" s="287" t="s">
        <v>57</v>
      </c>
      <c r="B121" s="284"/>
      <c r="C121" s="284"/>
      <c r="D121" s="284"/>
      <c r="E121" s="284"/>
      <c r="F121" s="284"/>
      <c r="G121" s="284"/>
      <c r="H121" s="284"/>
      <c r="I121" s="284"/>
      <c r="J121" s="284"/>
      <c r="K121" s="284"/>
    </row>
  </sheetData>
  <sheetProtection password="CC91" sheet="1"/>
  <mergeCells count="137">
    <mergeCell ref="A121:K121"/>
    <mergeCell ref="C115:D115"/>
    <mergeCell ref="C116:D116"/>
    <mergeCell ref="C117:D117"/>
    <mergeCell ref="C118:D118"/>
    <mergeCell ref="H119:I119"/>
    <mergeCell ref="C110:D110"/>
    <mergeCell ref="C111:D111"/>
    <mergeCell ref="C112:D112"/>
    <mergeCell ref="C113:D113"/>
    <mergeCell ref="C114:D114"/>
    <mergeCell ref="C105:D105"/>
    <mergeCell ref="C106:D106"/>
    <mergeCell ref="C107:D107"/>
    <mergeCell ref="C108:D108"/>
    <mergeCell ref="C109:D109"/>
    <mergeCell ref="C100:D100"/>
    <mergeCell ref="C101:D101"/>
    <mergeCell ref="C102:D102"/>
    <mergeCell ref="C103:D103"/>
    <mergeCell ref="C104:D104"/>
    <mergeCell ref="C95:D95"/>
    <mergeCell ref="C96:D96"/>
    <mergeCell ref="C97:D97"/>
    <mergeCell ref="C98:D98"/>
    <mergeCell ref="C99:D99"/>
    <mergeCell ref="C90:D90"/>
    <mergeCell ref="C91:D91"/>
    <mergeCell ref="C92:D92"/>
    <mergeCell ref="C93:D93"/>
    <mergeCell ref="C94:D94"/>
    <mergeCell ref="C85:D85"/>
    <mergeCell ref="C86:D86"/>
    <mergeCell ref="C87:D87"/>
    <mergeCell ref="C88:D88"/>
    <mergeCell ref="C89:D89"/>
    <mergeCell ref="C80:D80"/>
    <mergeCell ref="C81:D81"/>
    <mergeCell ref="C82:D82"/>
    <mergeCell ref="C83:D83"/>
    <mergeCell ref="C84:D84"/>
    <mergeCell ref="C75:D75"/>
    <mergeCell ref="C76:D76"/>
    <mergeCell ref="C77:D77"/>
    <mergeCell ref="C78:D78"/>
    <mergeCell ref="C79:D79"/>
    <mergeCell ref="C70:D70"/>
    <mergeCell ref="C71:D71"/>
    <mergeCell ref="C72:D72"/>
    <mergeCell ref="C73:D73"/>
    <mergeCell ref="C74:D74"/>
    <mergeCell ref="C65:D65"/>
    <mergeCell ref="C66:D66"/>
    <mergeCell ref="C67:D67"/>
    <mergeCell ref="C68:D68"/>
    <mergeCell ref="C69:D69"/>
    <mergeCell ref="C60:D60"/>
    <mergeCell ref="C61:D61"/>
    <mergeCell ref="C62:D62"/>
    <mergeCell ref="C63:D63"/>
    <mergeCell ref="C64:D64"/>
    <mergeCell ref="C55:D55"/>
    <mergeCell ref="C56:D56"/>
    <mergeCell ref="C57:D57"/>
    <mergeCell ref="C58:D58"/>
    <mergeCell ref="C59:D59"/>
    <mergeCell ref="C50:D50"/>
    <mergeCell ref="C51:D51"/>
    <mergeCell ref="C52:D52"/>
    <mergeCell ref="C53:D53"/>
    <mergeCell ref="C54:D54"/>
    <mergeCell ref="C45:D45"/>
    <mergeCell ref="C46:D46"/>
    <mergeCell ref="C47:D47"/>
    <mergeCell ref="C48:D48"/>
    <mergeCell ref="C49:D49"/>
    <mergeCell ref="C40:D40"/>
    <mergeCell ref="C41:D41"/>
    <mergeCell ref="C42:D42"/>
    <mergeCell ref="C43:D43"/>
    <mergeCell ref="C44:D44"/>
    <mergeCell ref="C36:D36"/>
    <mergeCell ref="C37:D37"/>
    <mergeCell ref="C38:D38"/>
    <mergeCell ref="C39:D39"/>
    <mergeCell ref="C30:D30"/>
    <mergeCell ref="C31:D31"/>
    <mergeCell ref="C32:D32"/>
    <mergeCell ref="C33:D33"/>
    <mergeCell ref="C34:D34"/>
    <mergeCell ref="C27:D27"/>
    <mergeCell ref="C28:D28"/>
    <mergeCell ref="C29:D29"/>
    <mergeCell ref="C20:D20"/>
    <mergeCell ref="C21:D21"/>
    <mergeCell ref="C22:D22"/>
    <mergeCell ref="C23:D23"/>
    <mergeCell ref="C24:D24"/>
    <mergeCell ref="C35:D35"/>
    <mergeCell ref="C18:D18"/>
    <mergeCell ref="C19:D19"/>
    <mergeCell ref="C11:D11"/>
    <mergeCell ref="H10:J10"/>
    <mergeCell ref="C12:D12"/>
    <mergeCell ref="C13:D13"/>
    <mergeCell ref="C14:D14"/>
    <mergeCell ref="C25:D25"/>
    <mergeCell ref="C26:D26"/>
    <mergeCell ref="C10:D10"/>
    <mergeCell ref="C15:D15"/>
    <mergeCell ref="C16:D16"/>
    <mergeCell ref="C17:D17"/>
    <mergeCell ref="A1:K1"/>
    <mergeCell ref="A2:B3"/>
    <mergeCell ref="A4:B5"/>
    <mergeCell ref="A6:B7"/>
    <mergeCell ref="A8:B9"/>
    <mergeCell ref="E2:F3"/>
    <mergeCell ref="E4:F5"/>
    <mergeCell ref="E6:F7"/>
    <mergeCell ref="E8:F9"/>
    <mergeCell ref="H2:H3"/>
    <mergeCell ref="H4:H5"/>
    <mergeCell ref="H6:H7"/>
    <mergeCell ref="H8:H9"/>
    <mergeCell ref="C2:D3"/>
    <mergeCell ref="C4:D5"/>
    <mergeCell ref="C6:D7"/>
    <mergeCell ref="I2:K3"/>
    <mergeCell ref="I4:K5"/>
    <mergeCell ref="I6:K7"/>
    <mergeCell ref="I8:K9"/>
    <mergeCell ref="C8:D9"/>
    <mergeCell ref="G2:G3"/>
    <mergeCell ref="G4:G5"/>
    <mergeCell ref="G6:G7"/>
    <mergeCell ref="G8:G9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03"/>
  <sheetViews>
    <sheetView workbookViewId="0">
      <selection activeCell="A303" sqref="A303:G303"/>
    </sheetView>
  </sheetViews>
  <sheetFormatPr defaultColWidth="12.140625" defaultRowHeight="15" customHeight="1" x14ac:dyDescent="0.25"/>
  <cols>
    <col min="1" max="2" width="9.140625" customWidth="1"/>
    <col min="3" max="3" width="14.28515625" customWidth="1"/>
    <col min="4" max="4" width="131" customWidth="1"/>
    <col min="5" max="5" width="66.7109375" customWidth="1"/>
    <col min="6" max="6" width="24.140625" customWidth="1"/>
    <col min="7" max="7" width="15.7109375" customWidth="1"/>
    <col min="8" max="8" width="20" customWidth="1"/>
  </cols>
  <sheetData>
    <row r="1" spans="1:8" ht="54.75" customHeight="1" x14ac:dyDescent="0.25">
      <c r="A1" s="280" t="s">
        <v>448</v>
      </c>
      <c r="B1" s="280"/>
      <c r="C1" s="280"/>
      <c r="D1" s="280"/>
      <c r="E1" s="280"/>
      <c r="F1" s="280"/>
      <c r="G1" s="280"/>
      <c r="H1" s="280"/>
    </row>
    <row r="2" spans="1:8" x14ac:dyDescent="0.25">
      <c r="A2" s="281" t="s">
        <v>1</v>
      </c>
      <c r="B2" s="282"/>
      <c r="C2" s="291" t="str">
        <f>'Stavební rozpočet'!C2</f>
        <v>Stavební úpravy části objektu ZČU - část 2.</v>
      </c>
      <c r="D2" s="292"/>
      <c r="E2" s="286" t="s">
        <v>2</v>
      </c>
      <c r="F2" s="286" t="str">
        <f>'Stavební rozpočet'!I2</f>
        <v>ZČU v Plzni, Univerzitní 2732/8, Plzeň</v>
      </c>
      <c r="G2" s="282"/>
      <c r="H2" s="288"/>
    </row>
    <row r="3" spans="1:8" ht="15" customHeight="1" x14ac:dyDescent="0.25">
      <c r="A3" s="283"/>
      <c r="B3" s="284"/>
      <c r="C3" s="293"/>
      <c r="D3" s="293"/>
      <c r="E3" s="284"/>
      <c r="F3" s="284"/>
      <c r="G3" s="284"/>
      <c r="H3" s="289"/>
    </row>
    <row r="4" spans="1:8" x14ac:dyDescent="0.25">
      <c r="A4" s="285" t="s">
        <v>5</v>
      </c>
      <c r="B4" s="284"/>
      <c r="C4" s="287" t="str">
        <f>'Stavební rozpočet'!C4</f>
        <v xml:space="preserve"> </v>
      </c>
      <c r="D4" s="284"/>
      <c r="E4" s="287" t="s">
        <v>6</v>
      </c>
      <c r="F4" s="287" t="str">
        <f>'Stavební rozpočet'!I4</f>
        <v>AIP Plzeň spol. s r.o., Brojova 16, Plzeň</v>
      </c>
      <c r="G4" s="284"/>
      <c r="H4" s="289"/>
    </row>
    <row r="5" spans="1:8" ht="15" customHeight="1" x14ac:dyDescent="0.25">
      <c r="A5" s="283"/>
      <c r="B5" s="284"/>
      <c r="C5" s="284"/>
      <c r="D5" s="284"/>
      <c r="E5" s="284"/>
      <c r="F5" s="284"/>
      <c r="G5" s="284"/>
      <c r="H5" s="289"/>
    </row>
    <row r="6" spans="1:8" x14ac:dyDescent="0.25">
      <c r="A6" s="285" t="s">
        <v>7</v>
      </c>
      <c r="B6" s="284"/>
      <c r="C6" s="287" t="str">
        <f>'Stavební rozpočet'!C6</f>
        <v>Sedláčkova 15, Plzeň</v>
      </c>
      <c r="D6" s="284"/>
      <c r="E6" s="287" t="s">
        <v>8</v>
      </c>
      <c r="F6" s="287" t="str">
        <f>'Stavební rozpočet'!I6</f>
        <v> </v>
      </c>
      <c r="G6" s="284"/>
      <c r="H6" s="289"/>
    </row>
    <row r="7" spans="1:8" ht="15" customHeight="1" x14ac:dyDescent="0.25">
      <c r="A7" s="283"/>
      <c r="B7" s="284"/>
      <c r="C7" s="284"/>
      <c r="D7" s="284"/>
      <c r="E7" s="284"/>
      <c r="F7" s="284"/>
      <c r="G7" s="284"/>
      <c r="H7" s="289"/>
    </row>
    <row r="8" spans="1:8" x14ac:dyDescent="0.25">
      <c r="A8" s="285" t="s">
        <v>13</v>
      </c>
      <c r="B8" s="284"/>
      <c r="C8" s="287">
        <f>'Stavební rozpočet'!I8</f>
        <v>0</v>
      </c>
      <c r="D8" s="284"/>
      <c r="E8" s="287" t="s">
        <v>73</v>
      </c>
      <c r="F8" s="287">
        <f>'Stavební rozpočet'!G8</f>
        <v>0</v>
      </c>
      <c r="G8" s="284"/>
      <c r="H8" s="289"/>
    </row>
    <row r="9" spans="1:8" x14ac:dyDescent="0.25">
      <c r="A9" s="350"/>
      <c r="B9" s="351"/>
      <c r="C9" s="351"/>
      <c r="D9" s="351"/>
      <c r="E9" s="351"/>
      <c r="F9" s="351"/>
      <c r="G9" s="351"/>
      <c r="H9" s="352"/>
    </row>
    <row r="10" spans="1:8" x14ac:dyDescent="0.25">
      <c r="A10" s="71" t="s">
        <v>124</v>
      </c>
      <c r="B10" s="72" t="s">
        <v>449</v>
      </c>
      <c r="C10" s="72" t="s">
        <v>76</v>
      </c>
      <c r="D10" s="379" t="s">
        <v>77</v>
      </c>
      <c r="E10" s="380"/>
      <c r="F10" s="72" t="s">
        <v>125</v>
      </c>
      <c r="G10" s="73" t="s">
        <v>126</v>
      </c>
      <c r="H10" s="74" t="s">
        <v>450</v>
      </c>
    </row>
    <row r="11" spans="1:8" x14ac:dyDescent="0.25">
      <c r="A11" s="75" t="s">
        <v>4</v>
      </c>
      <c r="B11" s="56" t="s">
        <v>82</v>
      </c>
      <c r="C11" s="56" t="s">
        <v>4</v>
      </c>
      <c r="D11" s="374" t="s">
        <v>80</v>
      </c>
      <c r="E11" s="374"/>
      <c r="F11" s="56" t="s">
        <v>4</v>
      </c>
      <c r="G11" s="76" t="s">
        <v>4</v>
      </c>
      <c r="H11" s="60" t="s">
        <v>4</v>
      </c>
    </row>
    <row r="12" spans="1:8" x14ac:dyDescent="0.25">
      <c r="A12" s="77" t="s">
        <v>4</v>
      </c>
      <c r="B12" s="62" t="s">
        <v>82</v>
      </c>
      <c r="C12" s="62" t="s">
        <v>83</v>
      </c>
      <c r="D12" s="371" t="s">
        <v>84</v>
      </c>
      <c r="E12" s="371"/>
      <c r="F12" s="62" t="s">
        <v>4</v>
      </c>
      <c r="G12" s="49" t="s">
        <v>4</v>
      </c>
      <c r="H12" s="65" t="s">
        <v>4</v>
      </c>
    </row>
    <row r="13" spans="1:8" x14ac:dyDescent="0.25">
      <c r="A13" s="1" t="s">
        <v>147</v>
      </c>
      <c r="B13" s="2" t="s">
        <v>82</v>
      </c>
      <c r="C13" s="2" t="s">
        <v>148</v>
      </c>
      <c r="D13" s="284" t="s">
        <v>149</v>
      </c>
      <c r="E13" s="284"/>
      <c r="F13" s="2" t="s">
        <v>150</v>
      </c>
      <c r="G13" s="37">
        <v>17</v>
      </c>
      <c r="H13" s="38">
        <v>0</v>
      </c>
    </row>
    <row r="14" spans="1:8" x14ac:dyDescent="0.25">
      <c r="A14" s="78"/>
      <c r="D14" s="79" t="s">
        <v>210</v>
      </c>
      <c r="E14" s="378" t="s">
        <v>451</v>
      </c>
      <c r="F14" s="378"/>
      <c r="G14" s="80">
        <v>17</v>
      </c>
      <c r="H14" s="81"/>
    </row>
    <row r="15" spans="1:8" x14ac:dyDescent="0.25">
      <c r="A15" s="77" t="s">
        <v>4</v>
      </c>
      <c r="B15" s="62" t="s">
        <v>82</v>
      </c>
      <c r="C15" s="62" t="s">
        <v>86</v>
      </c>
      <c r="D15" s="371" t="s">
        <v>87</v>
      </c>
      <c r="E15" s="371"/>
      <c r="F15" s="62" t="s">
        <v>4</v>
      </c>
      <c r="G15" s="49" t="s">
        <v>4</v>
      </c>
      <c r="H15" s="65" t="s">
        <v>4</v>
      </c>
    </row>
    <row r="16" spans="1:8" x14ac:dyDescent="0.25">
      <c r="A16" s="1" t="s">
        <v>155</v>
      </c>
      <c r="B16" s="2" t="s">
        <v>82</v>
      </c>
      <c r="C16" s="2" t="s">
        <v>156</v>
      </c>
      <c r="D16" s="284" t="s">
        <v>157</v>
      </c>
      <c r="E16" s="284"/>
      <c r="F16" s="2" t="s">
        <v>150</v>
      </c>
      <c r="G16" s="37">
        <v>768.18849999999998</v>
      </c>
      <c r="H16" s="38">
        <v>0</v>
      </c>
    </row>
    <row r="17" spans="1:8" x14ac:dyDescent="0.25">
      <c r="A17" s="78"/>
      <c r="D17" s="79" t="s">
        <v>452</v>
      </c>
      <c r="E17" s="378" t="s">
        <v>453</v>
      </c>
      <c r="F17" s="378"/>
      <c r="G17" s="80">
        <v>115.8015</v>
      </c>
      <c r="H17" s="81"/>
    </row>
    <row r="18" spans="1:8" x14ac:dyDescent="0.25">
      <c r="A18" s="1" t="s">
        <v>4</v>
      </c>
      <c r="B18" s="2" t="s">
        <v>4</v>
      </c>
      <c r="C18" s="2" t="s">
        <v>4</v>
      </c>
      <c r="D18" s="79" t="s">
        <v>454</v>
      </c>
      <c r="E18" s="378" t="s">
        <v>455</v>
      </c>
      <c r="F18" s="378"/>
      <c r="G18" s="80">
        <v>75.169499999999999</v>
      </c>
      <c r="H18" s="67" t="s">
        <v>4</v>
      </c>
    </row>
    <row r="19" spans="1:8" x14ac:dyDescent="0.25">
      <c r="A19" s="1" t="s">
        <v>4</v>
      </c>
      <c r="B19" s="2" t="s">
        <v>4</v>
      </c>
      <c r="C19" s="2" t="s">
        <v>4</v>
      </c>
      <c r="D19" s="79" t="s">
        <v>456</v>
      </c>
      <c r="E19" s="378" t="s">
        <v>457</v>
      </c>
      <c r="F19" s="378"/>
      <c r="G19" s="80">
        <v>191.17500000000001</v>
      </c>
      <c r="H19" s="67" t="s">
        <v>4</v>
      </c>
    </row>
    <row r="20" spans="1:8" x14ac:dyDescent="0.25">
      <c r="A20" s="1" t="s">
        <v>4</v>
      </c>
      <c r="B20" s="2" t="s">
        <v>4</v>
      </c>
      <c r="C20" s="2" t="s">
        <v>4</v>
      </c>
      <c r="D20" s="79" t="s">
        <v>458</v>
      </c>
      <c r="E20" s="378" t="s">
        <v>459</v>
      </c>
      <c r="F20" s="378"/>
      <c r="G20" s="80">
        <v>19.0535</v>
      </c>
      <c r="H20" s="67" t="s">
        <v>4</v>
      </c>
    </row>
    <row r="21" spans="1:8" x14ac:dyDescent="0.25">
      <c r="A21" s="1" t="s">
        <v>4</v>
      </c>
      <c r="B21" s="2" t="s">
        <v>4</v>
      </c>
      <c r="C21" s="2" t="s">
        <v>4</v>
      </c>
      <c r="D21" s="79" t="s">
        <v>460</v>
      </c>
      <c r="E21" s="378" t="s">
        <v>461</v>
      </c>
      <c r="F21" s="378"/>
      <c r="G21" s="80">
        <v>204.9665</v>
      </c>
      <c r="H21" s="67" t="s">
        <v>4</v>
      </c>
    </row>
    <row r="22" spans="1:8" x14ac:dyDescent="0.25">
      <c r="A22" s="1" t="s">
        <v>4</v>
      </c>
      <c r="B22" s="2" t="s">
        <v>4</v>
      </c>
      <c r="C22" s="2" t="s">
        <v>4</v>
      </c>
      <c r="D22" s="79" t="s">
        <v>462</v>
      </c>
      <c r="E22" s="378" t="s">
        <v>463</v>
      </c>
      <c r="F22" s="378"/>
      <c r="G22" s="80">
        <v>17.2805</v>
      </c>
      <c r="H22" s="67" t="s">
        <v>4</v>
      </c>
    </row>
    <row r="23" spans="1:8" x14ac:dyDescent="0.25">
      <c r="A23" s="1" t="s">
        <v>4</v>
      </c>
      <c r="B23" s="2" t="s">
        <v>4</v>
      </c>
      <c r="C23" s="2" t="s">
        <v>4</v>
      </c>
      <c r="D23" s="79" t="s">
        <v>464</v>
      </c>
      <c r="E23" s="378" t="s">
        <v>465</v>
      </c>
      <c r="F23" s="378"/>
      <c r="G23" s="80">
        <v>128.72149999999999</v>
      </c>
      <c r="H23" s="67" t="s">
        <v>4</v>
      </c>
    </row>
    <row r="24" spans="1:8" x14ac:dyDescent="0.25">
      <c r="A24" s="1" t="s">
        <v>4</v>
      </c>
      <c r="B24" s="2" t="s">
        <v>4</v>
      </c>
      <c r="C24" s="2" t="s">
        <v>4</v>
      </c>
      <c r="D24" s="79" t="s">
        <v>466</v>
      </c>
      <c r="E24" s="378" t="s">
        <v>467</v>
      </c>
      <c r="F24" s="378"/>
      <c r="G24" s="80">
        <v>16.020499999999998</v>
      </c>
      <c r="H24" s="67" t="s">
        <v>4</v>
      </c>
    </row>
    <row r="25" spans="1:8" x14ac:dyDescent="0.25">
      <c r="A25" s="1" t="s">
        <v>160</v>
      </c>
      <c r="B25" s="2" t="s">
        <v>82</v>
      </c>
      <c r="C25" s="2" t="s">
        <v>161</v>
      </c>
      <c r="D25" s="284" t="s">
        <v>162</v>
      </c>
      <c r="E25" s="284"/>
      <c r="F25" s="2" t="s">
        <v>150</v>
      </c>
      <c r="G25" s="37">
        <v>404.7</v>
      </c>
      <c r="H25" s="38">
        <v>0</v>
      </c>
    </row>
    <row r="26" spans="1:8" x14ac:dyDescent="0.25">
      <c r="A26" s="78"/>
      <c r="D26" s="79" t="s">
        <v>468</v>
      </c>
      <c r="E26" s="378" t="s">
        <v>451</v>
      </c>
      <c r="F26" s="378"/>
      <c r="G26" s="80">
        <v>100.2</v>
      </c>
      <c r="H26" s="81"/>
    </row>
    <row r="27" spans="1:8" x14ac:dyDescent="0.25">
      <c r="A27" s="1" t="s">
        <v>4</v>
      </c>
      <c r="B27" s="2" t="s">
        <v>4</v>
      </c>
      <c r="C27" s="2" t="s">
        <v>4</v>
      </c>
      <c r="D27" s="79" t="s">
        <v>469</v>
      </c>
      <c r="E27" s="378" t="s">
        <v>470</v>
      </c>
      <c r="F27" s="378"/>
      <c r="G27" s="80">
        <v>101.9</v>
      </c>
      <c r="H27" s="67" t="s">
        <v>4</v>
      </c>
    </row>
    <row r="28" spans="1:8" x14ac:dyDescent="0.25">
      <c r="A28" s="1" t="s">
        <v>4</v>
      </c>
      <c r="B28" s="2" t="s">
        <v>4</v>
      </c>
      <c r="C28" s="2" t="s">
        <v>4</v>
      </c>
      <c r="D28" s="79" t="s">
        <v>471</v>
      </c>
      <c r="E28" s="378" t="s">
        <v>472</v>
      </c>
      <c r="F28" s="378"/>
      <c r="G28" s="80">
        <v>100.7</v>
      </c>
      <c r="H28" s="67" t="s">
        <v>4</v>
      </c>
    </row>
    <row r="29" spans="1:8" x14ac:dyDescent="0.25">
      <c r="A29" s="1" t="s">
        <v>4</v>
      </c>
      <c r="B29" s="2" t="s">
        <v>4</v>
      </c>
      <c r="C29" s="2" t="s">
        <v>4</v>
      </c>
      <c r="D29" s="79" t="s">
        <v>473</v>
      </c>
      <c r="E29" s="378" t="s">
        <v>474</v>
      </c>
      <c r="F29" s="378"/>
      <c r="G29" s="80">
        <v>101.9</v>
      </c>
      <c r="H29" s="67" t="s">
        <v>4</v>
      </c>
    </row>
    <row r="30" spans="1:8" x14ac:dyDescent="0.25">
      <c r="A30" s="1" t="s">
        <v>163</v>
      </c>
      <c r="B30" s="2" t="s">
        <v>82</v>
      </c>
      <c r="C30" s="2" t="s">
        <v>164</v>
      </c>
      <c r="D30" s="284" t="s">
        <v>165</v>
      </c>
      <c r="E30" s="284"/>
      <c r="F30" s="2" t="s">
        <v>150</v>
      </c>
      <c r="G30" s="37">
        <v>126.2351</v>
      </c>
      <c r="H30" s="38">
        <v>0</v>
      </c>
    </row>
    <row r="31" spans="1:8" x14ac:dyDescent="0.25">
      <c r="A31" s="78"/>
      <c r="D31" s="79" t="s">
        <v>475</v>
      </c>
      <c r="E31" s="378" t="s">
        <v>451</v>
      </c>
      <c r="F31" s="378"/>
      <c r="G31" s="80">
        <v>27.072099999999999</v>
      </c>
      <c r="H31" s="81"/>
    </row>
    <row r="32" spans="1:8" x14ac:dyDescent="0.25">
      <c r="A32" s="1" t="s">
        <v>4</v>
      </c>
      <c r="B32" s="2" t="s">
        <v>4</v>
      </c>
      <c r="C32" s="2" t="s">
        <v>4</v>
      </c>
      <c r="D32" s="79" t="s">
        <v>476</v>
      </c>
      <c r="E32" s="378" t="s">
        <v>470</v>
      </c>
      <c r="F32" s="378"/>
      <c r="G32" s="80">
        <v>33.021500000000003</v>
      </c>
      <c r="H32" s="67" t="s">
        <v>4</v>
      </c>
    </row>
    <row r="33" spans="1:8" x14ac:dyDescent="0.25">
      <c r="A33" s="1" t="s">
        <v>4</v>
      </c>
      <c r="B33" s="2" t="s">
        <v>4</v>
      </c>
      <c r="C33" s="2" t="s">
        <v>4</v>
      </c>
      <c r="D33" s="79" t="s">
        <v>477</v>
      </c>
      <c r="E33" s="378" t="s">
        <v>472</v>
      </c>
      <c r="F33" s="378"/>
      <c r="G33" s="80">
        <v>32.923000000000002</v>
      </c>
      <c r="H33" s="67" t="s">
        <v>4</v>
      </c>
    </row>
    <row r="34" spans="1:8" x14ac:dyDescent="0.25">
      <c r="A34" s="1" t="s">
        <v>4</v>
      </c>
      <c r="B34" s="2" t="s">
        <v>4</v>
      </c>
      <c r="C34" s="2" t="s">
        <v>4</v>
      </c>
      <c r="D34" s="79" t="s">
        <v>478</v>
      </c>
      <c r="E34" s="378" t="s">
        <v>474</v>
      </c>
      <c r="F34" s="378"/>
      <c r="G34" s="80">
        <v>33.218499999999999</v>
      </c>
      <c r="H34" s="67" t="s">
        <v>4</v>
      </c>
    </row>
    <row r="35" spans="1:8" x14ac:dyDescent="0.25">
      <c r="A35" s="77" t="s">
        <v>4</v>
      </c>
      <c r="B35" s="62" t="s">
        <v>82</v>
      </c>
      <c r="C35" s="62" t="s">
        <v>88</v>
      </c>
      <c r="D35" s="371" t="s">
        <v>89</v>
      </c>
      <c r="E35" s="371"/>
      <c r="F35" s="62" t="s">
        <v>4</v>
      </c>
      <c r="G35" s="49" t="s">
        <v>4</v>
      </c>
      <c r="H35" s="65" t="s">
        <v>4</v>
      </c>
    </row>
    <row r="36" spans="1:8" x14ac:dyDescent="0.25">
      <c r="A36" s="1" t="s">
        <v>166</v>
      </c>
      <c r="B36" s="2" t="s">
        <v>82</v>
      </c>
      <c r="C36" s="2" t="s">
        <v>167</v>
      </c>
      <c r="D36" s="284" t="s">
        <v>168</v>
      </c>
      <c r="E36" s="284"/>
      <c r="F36" s="2" t="s">
        <v>150</v>
      </c>
      <c r="G36" s="37">
        <v>404.7</v>
      </c>
      <c r="H36" s="38">
        <v>0</v>
      </c>
    </row>
    <row r="37" spans="1:8" x14ac:dyDescent="0.25">
      <c r="A37" s="78"/>
      <c r="D37" s="79" t="s">
        <v>479</v>
      </c>
      <c r="E37" s="378" t="s">
        <v>451</v>
      </c>
      <c r="F37" s="378"/>
      <c r="G37" s="80">
        <v>100.2</v>
      </c>
      <c r="H37" s="81"/>
    </row>
    <row r="38" spans="1:8" x14ac:dyDescent="0.25">
      <c r="A38" s="1" t="s">
        <v>4</v>
      </c>
      <c r="B38" s="2" t="s">
        <v>4</v>
      </c>
      <c r="C38" s="2" t="s">
        <v>4</v>
      </c>
      <c r="D38" s="79" t="s">
        <v>469</v>
      </c>
      <c r="E38" s="378" t="s">
        <v>470</v>
      </c>
      <c r="F38" s="378"/>
      <c r="G38" s="80">
        <v>101.9</v>
      </c>
      <c r="H38" s="67" t="s">
        <v>4</v>
      </c>
    </row>
    <row r="39" spans="1:8" x14ac:dyDescent="0.25">
      <c r="A39" s="1" t="s">
        <v>4</v>
      </c>
      <c r="B39" s="2" t="s">
        <v>4</v>
      </c>
      <c r="C39" s="2" t="s">
        <v>4</v>
      </c>
      <c r="D39" s="79" t="s">
        <v>471</v>
      </c>
      <c r="E39" s="378" t="s">
        <v>472</v>
      </c>
      <c r="F39" s="378"/>
      <c r="G39" s="80">
        <v>100.7</v>
      </c>
      <c r="H39" s="67" t="s">
        <v>4</v>
      </c>
    </row>
    <row r="40" spans="1:8" x14ac:dyDescent="0.25">
      <c r="A40" s="1" t="s">
        <v>4</v>
      </c>
      <c r="B40" s="2" t="s">
        <v>4</v>
      </c>
      <c r="C40" s="2" t="s">
        <v>4</v>
      </c>
      <c r="D40" s="79" t="s">
        <v>473</v>
      </c>
      <c r="E40" s="378" t="s">
        <v>474</v>
      </c>
      <c r="F40" s="378"/>
      <c r="G40" s="80">
        <v>101.9</v>
      </c>
      <c r="H40" s="67" t="s">
        <v>4</v>
      </c>
    </row>
    <row r="41" spans="1:8" x14ac:dyDescent="0.25">
      <c r="A41" s="1" t="s">
        <v>170</v>
      </c>
      <c r="B41" s="2" t="s">
        <v>82</v>
      </c>
      <c r="C41" s="2" t="s">
        <v>171</v>
      </c>
      <c r="D41" s="284" t="s">
        <v>172</v>
      </c>
      <c r="E41" s="284"/>
      <c r="F41" s="2" t="s">
        <v>173</v>
      </c>
      <c r="G41" s="37">
        <v>65.968369999999993</v>
      </c>
      <c r="H41" s="38">
        <v>0</v>
      </c>
    </row>
    <row r="42" spans="1:8" x14ac:dyDescent="0.25">
      <c r="A42" s="77" t="s">
        <v>4</v>
      </c>
      <c r="B42" s="62" t="s">
        <v>82</v>
      </c>
      <c r="C42" s="62" t="s">
        <v>90</v>
      </c>
      <c r="D42" s="371" t="s">
        <v>91</v>
      </c>
      <c r="E42" s="371"/>
      <c r="F42" s="62" t="s">
        <v>4</v>
      </c>
      <c r="G42" s="49" t="s">
        <v>4</v>
      </c>
      <c r="H42" s="65" t="s">
        <v>4</v>
      </c>
    </row>
    <row r="43" spans="1:8" x14ac:dyDescent="0.25">
      <c r="A43" s="1" t="s">
        <v>174</v>
      </c>
      <c r="B43" s="2" t="s">
        <v>82</v>
      </c>
      <c r="C43" s="2" t="s">
        <v>175</v>
      </c>
      <c r="D43" s="284" t="s">
        <v>176</v>
      </c>
      <c r="E43" s="284"/>
      <c r="F43" s="2" t="s">
        <v>150</v>
      </c>
      <c r="G43" s="37">
        <v>404.7</v>
      </c>
      <c r="H43" s="38">
        <v>0</v>
      </c>
    </row>
    <row r="44" spans="1:8" x14ac:dyDescent="0.25">
      <c r="A44" s="78"/>
      <c r="D44" s="79" t="s">
        <v>479</v>
      </c>
      <c r="E44" s="378" t="s">
        <v>451</v>
      </c>
      <c r="F44" s="378"/>
      <c r="G44" s="80">
        <v>100.2</v>
      </c>
      <c r="H44" s="81"/>
    </row>
    <row r="45" spans="1:8" x14ac:dyDescent="0.25">
      <c r="A45" s="1" t="s">
        <v>4</v>
      </c>
      <c r="B45" s="2" t="s">
        <v>4</v>
      </c>
      <c r="C45" s="2" t="s">
        <v>4</v>
      </c>
      <c r="D45" s="79" t="s">
        <v>469</v>
      </c>
      <c r="E45" s="378" t="s">
        <v>470</v>
      </c>
      <c r="F45" s="378"/>
      <c r="G45" s="80">
        <v>101.9</v>
      </c>
      <c r="H45" s="67" t="s">
        <v>4</v>
      </c>
    </row>
    <row r="46" spans="1:8" x14ac:dyDescent="0.25">
      <c r="A46" s="1" t="s">
        <v>4</v>
      </c>
      <c r="B46" s="2" t="s">
        <v>4</v>
      </c>
      <c r="C46" s="2" t="s">
        <v>4</v>
      </c>
      <c r="D46" s="79" t="s">
        <v>471</v>
      </c>
      <c r="E46" s="378" t="s">
        <v>472</v>
      </c>
      <c r="F46" s="378"/>
      <c r="G46" s="80">
        <v>100.7</v>
      </c>
      <c r="H46" s="67" t="s">
        <v>4</v>
      </c>
    </row>
    <row r="47" spans="1:8" x14ac:dyDescent="0.25">
      <c r="A47" s="1" t="s">
        <v>4</v>
      </c>
      <c r="B47" s="2" t="s">
        <v>4</v>
      </c>
      <c r="C47" s="2" t="s">
        <v>4</v>
      </c>
      <c r="D47" s="79" t="s">
        <v>473</v>
      </c>
      <c r="E47" s="378" t="s">
        <v>474</v>
      </c>
      <c r="F47" s="378"/>
      <c r="G47" s="80">
        <v>101.9</v>
      </c>
      <c r="H47" s="67" t="s">
        <v>4</v>
      </c>
    </row>
    <row r="48" spans="1:8" x14ac:dyDescent="0.25">
      <c r="A48" s="1" t="s">
        <v>179</v>
      </c>
      <c r="B48" s="2" t="s">
        <v>82</v>
      </c>
      <c r="C48" s="2" t="s">
        <v>180</v>
      </c>
      <c r="D48" s="284" t="s">
        <v>181</v>
      </c>
      <c r="E48" s="284"/>
      <c r="F48" s="2" t="s">
        <v>150</v>
      </c>
      <c r="G48" s="37">
        <v>409.35404999999997</v>
      </c>
      <c r="H48" s="38">
        <v>0</v>
      </c>
    </row>
    <row r="49" spans="1:8" x14ac:dyDescent="0.25">
      <c r="A49" s="78"/>
      <c r="D49" s="79" t="s">
        <v>479</v>
      </c>
      <c r="E49" s="378" t="s">
        <v>451</v>
      </c>
      <c r="F49" s="378"/>
      <c r="G49" s="80">
        <v>100.2</v>
      </c>
      <c r="H49" s="81"/>
    </row>
    <row r="50" spans="1:8" x14ac:dyDescent="0.25">
      <c r="A50" s="1" t="s">
        <v>4</v>
      </c>
      <c r="B50" s="2" t="s">
        <v>4</v>
      </c>
      <c r="C50" s="2" t="s">
        <v>4</v>
      </c>
      <c r="D50" s="79" t="s">
        <v>469</v>
      </c>
      <c r="E50" s="378" t="s">
        <v>470</v>
      </c>
      <c r="F50" s="378"/>
      <c r="G50" s="80">
        <v>101.9</v>
      </c>
      <c r="H50" s="67" t="s">
        <v>4</v>
      </c>
    </row>
    <row r="51" spans="1:8" x14ac:dyDescent="0.25">
      <c r="A51" s="1" t="s">
        <v>4</v>
      </c>
      <c r="B51" s="2" t="s">
        <v>4</v>
      </c>
      <c r="C51" s="2" t="s">
        <v>4</v>
      </c>
      <c r="D51" s="79" t="s">
        <v>471</v>
      </c>
      <c r="E51" s="378" t="s">
        <v>472</v>
      </c>
      <c r="F51" s="378"/>
      <c r="G51" s="80">
        <v>100.7</v>
      </c>
      <c r="H51" s="67" t="s">
        <v>4</v>
      </c>
    </row>
    <row r="52" spans="1:8" x14ac:dyDescent="0.25">
      <c r="A52" s="1" t="s">
        <v>4</v>
      </c>
      <c r="B52" s="2" t="s">
        <v>4</v>
      </c>
      <c r="C52" s="2" t="s">
        <v>4</v>
      </c>
      <c r="D52" s="79" t="s">
        <v>473</v>
      </c>
      <c r="E52" s="378" t="s">
        <v>474</v>
      </c>
      <c r="F52" s="378"/>
      <c r="G52" s="80">
        <v>101.9</v>
      </c>
      <c r="H52" s="67" t="s">
        <v>4</v>
      </c>
    </row>
    <row r="53" spans="1:8" x14ac:dyDescent="0.25">
      <c r="A53" s="1" t="s">
        <v>4</v>
      </c>
      <c r="B53" s="2" t="s">
        <v>4</v>
      </c>
      <c r="C53" s="2" t="s">
        <v>4</v>
      </c>
      <c r="D53" s="79" t="s">
        <v>480</v>
      </c>
      <c r="E53" s="378" t="s">
        <v>4</v>
      </c>
      <c r="F53" s="378"/>
      <c r="G53" s="80">
        <v>4.6540499999999998</v>
      </c>
      <c r="H53" s="67" t="s">
        <v>4</v>
      </c>
    </row>
    <row r="54" spans="1:8" x14ac:dyDescent="0.25">
      <c r="A54" s="1" t="s">
        <v>182</v>
      </c>
      <c r="B54" s="2" t="s">
        <v>82</v>
      </c>
      <c r="C54" s="2" t="s">
        <v>183</v>
      </c>
      <c r="D54" s="284" t="s">
        <v>184</v>
      </c>
      <c r="E54" s="284"/>
      <c r="F54" s="2" t="s">
        <v>150</v>
      </c>
      <c r="G54" s="37">
        <v>465.26</v>
      </c>
      <c r="H54" s="38">
        <v>0</v>
      </c>
    </row>
    <row r="55" spans="1:8" x14ac:dyDescent="0.25">
      <c r="A55" s="78"/>
      <c r="D55" s="79" t="s">
        <v>481</v>
      </c>
      <c r="E55" s="378" t="s">
        <v>451</v>
      </c>
      <c r="F55" s="378"/>
      <c r="G55" s="80">
        <v>120.24</v>
      </c>
      <c r="H55" s="81"/>
    </row>
    <row r="56" spans="1:8" x14ac:dyDescent="0.25">
      <c r="A56" s="1" t="s">
        <v>4</v>
      </c>
      <c r="B56" s="2" t="s">
        <v>4</v>
      </c>
      <c r="C56" s="2" t="s">
        <v>4</v>
      </c>
      <c r="D56" s="79" t="s">
        <v>482</v>
      </c>
      <c r="E56" s="378" t="s">
        <v>470</v>
      </c>
      <c r="F56" s="378"/>
      <c r="G56" s="80">
        <v>122.28</v>
      </c>
      <c r="H56" s="67" t="s">
        <v>4</v>
      </c>
    </row>
    <row r="57" spans="1:8" x14ac:dyDescent="0.25">
      <c r="A57" s="1" t="s">
        <v>4</v>
      </c>
      <c r="B57" s="2" t="s">
        <v>4</v>
      </c>
      <c r="C57" s="2" t="s">
        <v>4</v>
      </c>
      <c r="D57" s="79" t="s">
        <v>483</v>
      </c>
      <c r="E57" s="378" t="s">
        <v>472</v>
      </c>
      <c r="F57" s="378"/>
      <c r="G57" s="80">
        <v>120.84</v>
      </c>
      <c r="H57" s="67" t="s">
        <v>4</v>
      </c>
    </row>
    <row r="58" spans="1:8" x14ac:dyDescent="0.25">
      <c r="A58" s="1" t="s">
        <v>4</v>
      </c>
      <c r="B58" s="2" t="s">
        <v>4</v>
      </c>
      <c r="C58" s="2" t="s">
        <v>4</v>
      </c>
      <c r="D58" s="79" t="s">
        <v>473</v>
      </c>
      <c r="E58" s="378" t="s">
        <v>474</v>
      </c>
      <c r="F58" s="378"/>
      <c r="G58" s="80">
        <v>101.9</v>
      </c>
      <c r="H58" s="67" t="s">
        <v>4</v>
      </c>
    </row>
    <row r="59" spans="1:8" x14ac:dyDescent="0.25">
      <c r="A59" s="1" t="s">
        <v>185</v>
      </c>
      <c r="B59" s="2" t="s">
        <v>82</v>
      </c>
      <c r="C59" s="2" t="s">
        <v>186</v>
      </c>
      <c r="D59" s="284" t="s">
        <v>187</v>
      </c>
      <c r="E59" s="284"/>
      <c r="F59" s="2" t="s">
        <v>62</v>
      </c>
      <c r="G59" s="37">
        <v>880.23180000000002</v>
      </c>
      <c r="H59" s="38">
        <v>0</v>
      </c>
    </row>
    <row r="60" spans="1:8" x14ac:dyDescent="0.25">
      <c r="A60" s="78"/>
      <c r="D60" s="79" t="s">
        <v>484</v>
      </c>
      <c r="E60" s="378" t="s">
        <v>4</v>
      </c>
      <c r="F60" s="378"/>
      <c r="G60" s="80">
        <v>880.23180000000002</v>
      </c>
      <c r="H60" s="81"/>
    </row>
    <row r="61" spans="1:8" x14ac:dyDescent="0.25">
      <c r="A61" s="77" t="s">
        <v>4</v>
      </c>
      <c r="B61" s="62" t="s">
        <v>82</v>
      </c>
      <c r="C61" s="62" t="s">
        <v>92</v>
      </c>
      <c r="D61" s="371" t="s">
        <v>93</v>
      </c>
      <c r="E61" s="371"/>
      <c r="F61" s="62" t="s">
        <v>4</v>
      </c>
      <c r="G61" s="49" t="s">
        <v>4</v>
      </c>
      <c r="H61" s="65" t="s">
        <v>4</v>
      </c>
    </row>
    <row r="62" spans="1:8" x14ac:dyDescent="0.25">
      <c r="A62" s="1" t="s">
        <v>188</v>
      </c>
      <c r="B62" s="2" t="s">
        <v>82</v>
      </c>
      <c r="C62" s="2" t="s">
        <v>189</v>
      </c>
      <c r="D62" s="284" t="s">
        <v>190</v>
      </c>
      <c r="E62" s="284"/>
      <c r="F62" s="2" t="s">
        <v>191</v>
      </c>
      <c r="G62" s="37">
        <v>10</v>
      </c>
      <c r="H62" s="38">
        <v>0</v>
      </c>
    </row>
    <row r="63" spans="1:8" x14ac:dyDescent="0.25">
      <c r="A63" s="78"/>
      <c r="D63" s="79" t="s">
        <v>485</v>
      </c>
      <c r="E63" s="378" t="s">
        <v>4</v>
      </c>
      <c r="F63" s="378"/>
      <c r="G63" s="80">
        <v>10</v>
      </c>
      <c r="H63" s="81"/>
    </row>
    <row r="64" spans="1:8" x14ac:dyDescent="0.25">
      <c r="A64" s="1" t="s">
        <v>194</v>
      </c>
      <c r="B64" s="2" t="s">
        <v>82</v>
      </c>
      <c r="C64" s="2" t="s">
        <v>195</v>
      </c>
      <c r="D64" s="284" t="s">
        <v>196</v>
      </c>
      <c r="E64" s="284"/>
      <c r="F64" s="2" t="s">
        <v>191</v>
      </c>
      <c r="G64" s="37">
        <v>6</v>
      </c>
      <c r="H64" s="38">
        <v>0</v>
      </c>
    </row>
    <row r="65" spans="1:8" x14ac:dyDescent="0.25">
      <c r="A65" s="78"/>
      <c r="D65" s="79" t="s">
        <v>170</v>
      </c>
      <c r="E65" s="378" t="s">
        <v>4</v>
      </c>
      <c r="F65" s="378"/>
      <c r="G65" s="80">
        <v>6</v>
      </c>
      <c r="H65" s="81"/>
    </row>
    <row r="66" spans="1:8" x14ac:dyDescent="0.25">
      <c r="A66" s="1" t="s">
        <v>197</v>
      </c>
      <c r="B66" s="2" t="s">
        <v>82</v>
      </c>
      <c r="C66" s="2" t="s">
        <v>198</v>
      </c>
      <c r="D66" s="284" t="s">
        <v>199</v>
      </c>
      <c r="E66" s="284"/>
      <c r="F66" s="2" t="s">
        <v>191</v>
      </c>
      <c r="G66" s="37">
        <v>12</v>
      </c>
      <c r="H66" s="38">
        <v>0</v>
      </c>
    </row>
    <row r="67" spans="1:8" x14ac:dyDescent="0.25">
      <c r="A67" s="78"/>
      <c r="D67" s="79" t="s">
        <v>194</v>
      </c>
      <c r="E67" s="378" t="s">
        <v>4</v>
      </c>
      <c r="F67" s="378"/>
      <c r="G67" s="80">
        <v>12</v>
      </c>
      <c r="H67" s="81"/>
    </row>
    <row r="68" spans="1:8" x14ac:dyDescent="0.25">
      <c r="A68" s="1" t="s">
        <v>200</v>
      </c>
      <c r="B68" s="2" t="s">
        <v>82</v>
      </c>
      <c r="C68" s="2" t="s">
        <v>201</v>
      </c>
      <c r="D68" s="284" t="s">
        <v>202</v>
      </c>
      <c r="E68" s="284"/>
      <c r="F68" s="2" t="s">
        <v>203</v>
      </c>
      <c r="G68" s="37">
        <v>15</v>
      </c>
      <c r="H68" s="38">
        <v>0</v>
      </c>
    </row>
    <row r="69" spans="1:8" x14ac:dyDescent="0.25">
      <c r="A69" s="78"/>
      <c r="D69" s="79" t="s">
        <v>204</v>
      </c>
      <c r="E69" s="378" t="s">
        <v>4</v>
      </c>
      <c r="F69" s="378"/>
      <c r="G69" s="80">
        <v>15</v>
      </c>
      <c r="H69" s="81"/>
    </row>
    <row r="70" spans="1:8" x14ac:dyDescent="0.25">
      <c r="A70" s="1" t="s">
        <v>204</v>
      </c>
      <c r="B70" s="2" t="s">
        <v>82</v>
      </c>
      <c r="C70" s="2" t="s">
        <v>205</v>
      </c>
      <c r="D70" s="284" t="s">
        <v>206</v>
      </c>
      <c r="E70" s="284"/>
      <c r="F70" s="2" t="s">
        <v>203</v>
      </c>
      <c r="G70" s="37">
        <v>5</v>
      </c>
      <c r="H70" s="38">
        <v>0</v>
      </c>
    </row>
    <row r="71" spans="1:8" x14ac:dyDescent="0.25">
      <c r="A71" s="78"/>
      <c r="D71" s="79" t="s">
        <v>166</v>
      </c>
      <c r="E71" s="378" t="s">
        <v>4</v>
      </c>
      <c r="F71" s="378"/>
      <c r="G71" s="80">
        <v>5</v>
      </c>
      <c r="H71" s="81"/>
    </row>
    <row r="72" spans="1:8" x14ac:dyDescent="0.25">
      <c r="A72" s="1" t="s">
        <v>207</v>
      </c>
      <c r="B72" s="2" t="s">
        <v>82</v>
      </c>
      <c r="C72" s="2" t="s">
        <v>208</v>
      </c>
      <c r="D72" s="284" t="s">
        <v>209</v>
      </c>
      <c r="E72" s="284"/>
      <c r="F72" s="2" t="s">
        <v>203</v>
      </c>
      <c r="G72" s="37">
        <v>5</v>
      </c>
      <c r="H72" s="38">
        <v>0</v>
      </c>
    </row>
    <row r="73" spans="1:8" x14ac:dyDescent="0.25">
      <c r="A73" s="78"/>
      <c r="D73" s="79" t="s">
        <v>166</v>
      </c>
      <c r="E73" s="378" t="s">
        <v>4</v>
      </c>
      <c r="F73" s="378"/>
      <c r="G73" s="80">
        <v>5</v>
      </c>
      <c r="H73" s="81"/>
    </row>
    <row r="74" spans="1:8" x14ac:dyDescent="0.25">
      <c r="A74" s="1" t="s">
        <v>210</v>
      </c>
      <c r="B74" s="2" t="s">
        <v>82</v>
      </c>
      <c r="C74" s="2" t="s">
        <v>211</v>
      </c>
      <c r="D74" s="284" t="s">
        <v>212</v>
      </c>
      <c r="E74" s="284"/>
      <c r="F74" s="2" t="s">
        <v>203</v>
      </c>
      <c r="G74" s="37">
        <v>5</v>
      </c>
      <c r="H74" s="38">
        <v>0</v>
      </c>
    </row>
    <row r="75" spans="1:8" x14ac:dyDescent="0.25">
      <c r="A75" s="78"/>
      <c r="D75" s="79" t="s">
        <v>166</v>
      </c>
      <c r="E75" s="378" t="s">
        <v>4</v>
      </c>
      <c r="F75" s="378"/>
      <c r="G75" s="80">
        <v>5</v>
      </c>
      <c r="H75" s="81"/>
    </row>
    <row r="76" spans="1:8" x14ac:dyDescent="0.25">
      <c r="A76" s="1" t="s">
        <v>213</v>
      </c>
      <c r="B76" s="2" t="s">
        <v>82</v>
      </c>
      <c r="C76" s="2" t="s">
        <v>214</v>
      </c>
      <c r="D76" s="284" t="s">
        <v>215</v>
      </c>
      <c r="E76" s="284"/>
      <c r="F76" s="2" t="s">
        <v>191</v>
      </c>
      <c r="G76" s="37">
        <v>24</v>
      </c>
      <c r="H76" s="38">
        <v>0</v>
      </c>
    </row>
    <row r="77" spans="1:8" x14ac:dyDescent="0.25">
      <c r="A77" s="78"/>
      <c r="D77" s="79" t="s">
        <v>233</v>
      </c>
      <c r="E77" s="378" t="s">
        <v>4</v>
      </c>
      <c r="F77" s="378"/>
      <c r="G77" s="80">
        <v>24</v>
      </c>
      <c r="H77" s="81"/>
    </row>
    <row r="78" spans="1:8" x14ac:dyDescent="0.25">
      <c r="A78" s="1" t="s">
        <v>216</v>
      </c>
      <c r="B78" s="2" t="s">
        <v>82</v>
      </c>
      <c r="C78" s="2" t="s">
        <v>217</v>
      </c>
      <c r="D78" s="284" t="s">
        <v>218</v>
      </c>
      <c r="E78" s="284"/>
      <c r="F78" s="2" t="s">
        <v>191</v>
      </c>
      <c r="G78" s="37">
        <v>24</v>
      </c>
      <c r="H78" s="38">
        <v>0</v>
      </c>
    </row>
    <row r="79" spans="1:8" x14ac:dyDescent="0.25">
      <c r="A79" s="78"/>
      <c r="D79" s="79" t="s">
        <v>233</v>
      </c>
      <c r="E79" s="378" t="s">
        <v>4</v>
      </c>
      <c r="F79" s="378"/>
      <c r="G79" s="80">
        <v>24</v>
      </c>
      <c r="H79" s="81"/>
    </row>
    <row r="80" spans="1:8" x14ac:dyDescent="0.25">
      <c r="A80" s="1" t="s">
        <v>219</v>
      </c>
      <c r="B80" s="2" t="s">
        <v>82</v>
      </c>
      <c r="C80" s="2" t="s">
        <v>220</v>
      </c>
      <c r="D80" s="284" t="s">
        <v>221</v>
      </c>
      <c r="E80" s="284"/>
      <c r="F80" s="2" t="s">
        <v>203</v>
      </c>
      <c r="G80" s="37">
        <v>30</v>
      </c>
      <c r="H80" s="38">
        <v>0</v>
      </c>
    </row>
    <row r="81" spans="1:8" x14ac:dyDescent="0.25">
      <c r="A81" s="78"/>
      <c r="D81" s="79" t="s">
        <v>251</v>
      </c>
      <c r="E81" s="378" t="s">
        <v>4</v>
      </c>
      <c r="F81" s="378"/>
      <c r="G81" s="80">
        <v>30</v>
      </c>
      <c r="H81" s="81"/>
    </row>
    <row r="82" spans="1:8" x14ac:dyDescent="0.25">
      <c r="A82" s="1" t="s">
        <v>222</v>
      </c>
      <c r="B82" s="2" t="s">
        <v>82</v>
      </c>
      <c r="C82" s="2" t="s">
        <v>223</v>
      </c>
      <c r="D82" s="284" t="s">
        <v>224</v>
      </c>
      <c r="E82" s="284"/>
      <c r="F82" s="2" t="s">
        <v>203</v>
      </c>
      <c r="G82" s="37">
        <v>30</v>
      </c>
      <c r="H82" s="38">
        <v>0</v>
      </c>
    </row>
    <row r="83" spans="1:8" x14ac:dyDescent="0.25">
      <c r="A83" s="78"/>
      <c r="D83" s="79" t="s">
        <v>251</v>
      </c>
      <c r="E83" s="378" t="s">
        <v>4</v>
      </c>
      <c r="F83" s="378"/>
      <c r="G83" s="80">
        <v>30</v>
      </c>
      <c r="H83" s="81"/>
    </row>
    <row r="84" spans="1:8" x14ac:dyDescent="0.25">
      <c r="A84" s="1" t="s">
        <v>225</v>
      </c>
      <c r="B84" s="2" t="s">
        <v>82</v>
      </c>
      <c r="C84" s="2" t="s">
        <v>226</v>
      </c>
      <c r="D84" s="284" t="s">
        <v>227</v>
      </c>
      <c r="E84" s="284"/>
      <c r="F84" s="2" t="s">
        <v>62</v>
      </c>
      <c r="G84" s="37">
        <v>456.13889999999998</v>
      </c>
      <c r="H84" s="38">
        <v>0</v>
      </c>
    </row>
    <row r="85" spans="1:8" x14ac:dyDescent="0.25">
      <c r="A85" s="78"/>
      <c r="D85" s="79" t="s">
        <v>486</v>
      </c>
      <c r="E85" s="378" t="s">
        <v>4</v>
      </c>
      <c r="F85" s="378"/>
      <c r="G85" s="80">
        <v>456.13889999999998</v>
      </c>
      <c r="H85" s="81"/>
    </row>
    <row r="86" spans="1:8" x14ac:dyDescent="0.25">
      <c r="A86" s="77" t="s">
        <v>4</v>
      </c>
      <c r="B86" s="62" t="s">
        <v>82</v>
      </c>
      <c r="C86" s="62" t="s">
        <v>94</v>
      </c>
      <c r="D86" s="371" t="s">
        <v>95</v>
      </c>
      <c r="E86" s="371"/>
      <c r="F86" s="62" t="s">
        <v>4</v>
      </c>
      <c r="G86" s="49" t="s">
        <v>4</v>
      </c>
      <c r="H86" s="65" t="s">
        <v>4</v>
      </c>
    </row>
    <row r="87" spans="1:8" x14ac:dyDescent="0.25">
      <c r="A87" s="1" t="s">
        <v>228</v>
      </c>
      <c r="B87" s="2" t="s">
        <v>82</v>
      </c>
      <c r="C87" s="2" t="s">
        <v>229</v>
      </c>
      <c r="D87" s="284" t="s">
        <v>230</v>
      </c>
      <c r="E87" s="284"/>
      <c r="F87" s="2" t="s">
        <v>231</v>
      </c>
      <c r="G87" s="37">
        <v>12</v>
      </c>
      <c r="H87" s="38">
        <v>0</v>
      </c>
    </row>
    <row r="88" spans="1:8" x14ac:dyDescent="0.25">
      <c r="A88" s="78"/>
      <c r="D88" s="79" t="s">
        <v>194</v>
      </c>
      <c r="E88" s="378" t="s">
        <v>4</v>
      </c>
      <c r="F88" s="378"/>
      <c r="G88" s="80">
        <v>12</v>
      </c>
      <c r="H88" s="81"/>
    </row>
    <row r="89" spans="1:8" x14ac:dyDescent="0.25">
      <c r="A89" s="1" t="s">
        <v>233</v>
      </c>
      <c r="B89" s="2" t="s">
        <v>82</v>
      </c>
      <c r="C89" s="2" t="s">
        <v>234</v>
      </c>
      <c r="D89" s="284" t="s">
        <v>235</v>
      </c>
      <c r="E89" s="284"/>
      <c r="F89" s="2" t="s">
        <v>191</v>
      </c>
      <c r="G89" s="37">
        <v>6</v>
      </c>
      <c r="H89" s="38">
        <v>0</v>
      </c>
    </row>
    <row r="90" spans="1:8" x14ac:dyDescent="0.25">
      <c r="A90" s="78"/>
      <c r="D90" s="79" t="s">
        <v>170</v>
      </c>
      <c r="E90" s="378" t="s">
        <v>4</v>
      </c>
      <c r="F90" s="378"/>
      <c r="G90" s="80">
        <v>6</v>
      </c>
      <c r="H90" s="81"/>
    </row>
    <row r="91" spans="1:8" x14ac:dyDescent="0.25">
      <c r="A91" s="1" t="s">
        <v>236</v>
      </c>
      <c r="B91" s="2" t="s">
        <v>82</v>
      </c>
      <c r="C91" s="2" t="s">
        <v>237</v>
      </c>
      <c r="D91" s="284" t="s">
        <v>238</v>
      </c>
      <c r="E91" s="284"/>
      <c r="F91" s="2" t="s">
        <v>191</v>
      </c>
      <c r="G91" s="37">
        <v>2</v>
      </c>
      <c r="H91" s="38">
        <v>0</v>
      </c>
    </row>
    <row r="92" spans="1:8" x14ac:dyDescent="0.25">
      <c r="A92" s="78"/>
      <c r="D92" s="79" t="s">
        <v>155</v>
      </c>
      <c r="E92" s="378" t="s">
        <v>4</v>
      </c>
      <c r="F92" s="378"/>
      <c r="G92" s="80">
        <v>2</v>
      </c>
      <c r="H92" s="81"/>
    </row>
    <row r="93" spans="1:8" x14ac:dyDescent="0.25">
      <c r="A93" s="1" t="s">
        <v>239</v>
      </c>
      <c r="B93" s="2" t="s">
        <v>82</v>
      </c>
      <c r="C93" s="2" t="s">
        <v>240</v>
      </c>
      <c r="D93" s="284" t="s">
        <v>241</v>
      </c>
      <c r="E93" s="284"/>
      <c r="F93" s="2" t="s">
        <v>191</v>
      </c>
      <c r="G93" s="37">
        <v>24</v>
      </c>
      <c r="H93" s="38">
        <v>0</v>
      </c>
    </row>
    <row r="94" spans="1:8" x14ac:dyDescent="0.25">
      <c r="A94" s="78"/>
      <c r="D94" s="79" t="s">
        <v>233</v>
      </c>
      <c r="E94" s="378" t="s">
        <v>4</v>
      </c>
      <c r="F94" s="378"/>
      <c r="G94" s="80">
        <v>24</v>
      </c>
      <c r="H94" s="81"/>
    </row>
    <row r="95" spans="1:8" x14ac:dyDescent="0.25">
      <c r="A95" s="1" t="s">
        <v>242</v>
      </c>
      <c r="B95" s="2" t="s">
        <v>82</v>
      </c>
      <c r="C95" s="2" t="s">
        <v>243</v>
      </c>
      <c r="D95" s="284" t="s">
        <v>244</v>
      </c>
      <c r="E95" s="284"/>
      <c r="F95" s="2" t="s">
        <v>191</v>
      </c>
      <c r="G95" s="37">
        <v>4</v>
      </c>
      <c r="H95" s="38">
        <v>0</v>
      </c>
    </row>
    <row r="96" spans="1:8" x14ac:dyDescent="0.25">
      <c r="A96" s="78"/>
      <c r="D96" s="79" t="s">
        <v>163</v>
      </c>
      <c r="E96" s="378" t="s">
        <v>4</v>
      </c>
      <c r="F96" s="378"/>
      <c r="G96" s="80">
        <v>4</v>
      </c>
      <c r="H96" s="81"/>
    </row>
    <row r="97" spans="1:8" x14ac:dyDescent="0.25">
      <c r="A97" s="1" t="s">
        <v>245</v>
      </c>
      <c r="B97" s="2" t="s">
        <v>82</v>
      </c>
      <c r="C97" s="2" t="s">
        <v>246</v>
      </c>
      <c r="D97" s="284" t="s">
        <v>247</v>
      </c>
      <c r="E97" s="284"/>
      <c r="F97" s="2" t="s">
        <v>191</v>
      </c>
      <c r="G97" s="37">
        <v>4</v>
      </c>
      <c r="H97" s="38">
        <v>0</v>
      </c>
    </row>
    <row r="98" spans="1:8" x14ac:dyDescent="0.25">
      <c r="A98" s="78"/>
      <c r="D98" s="79" t="s">
        <v>163</v>
      </c>
      <c r="E98" s="378" t="s">
        <v>4</v>
      </c>
      <c r="F98" s="378"/>
      <c r="G98" s="80">
        <v>4</v>
      </c>
      <c r="H98" s="81"/>
    </row>
    <row r="99" spans="1:8" x14ac:dyDescent="0.25">
      <c r="A99" s="1" t="s">
        <v>248</v>
      </c>
      <c r="B99" s="2" t="s">
        <v>82</v>
      </c>
      <c r="C99" s="2" t="s">
        <v>249</v>
      </c>
      <c r="D99" s="284" t="s">
        <v>250</v>
      </c>
      <c r="E99" s="284"/>
      <c r="F99" s="2" t="s">
        <v>191</v>
      </c>
      <c r="G99" s="37">
        <v>8</v>
      </c>
      <c r="H99" s="38">
        <v>0</v>
      </c>
    </row>
    <row r="100" spans="1:8" x14ac:dyDescent="0.25">
      <c r="A100" s="78"/>
      <c r="D100" s="79" t="s">
        <v>179</v>
      </c>
      <c r="E100" s="378" t="s">
        <v>4</v>
      </c>
      <c r="F100" s="378"/>
      <c r="G100" s="80">
        <v>8</v>
      </c>
      <c r="H100" s="81"/>
    </row>
    <row r="101" spans="1:8" x14ac:dyDescent="0.25">
      <c r="A101" s="1" t="s">
        <v>251</v>
      </c>
      <c r="B101" s="2" t="s">
        <v>82</v>
      </c>
      <c r="C101" s="2" t="s">
        <v>252</v>
      </c>
      <c r="D101" s="284" t="s">
        <v>253</v>
      </c>
      <c r="E101" s="284"/>
      <c r="F101" s="2" t="s">
        <v>191</v>
      </c>
      <c r="G101" s="37">
        <v>2</v>
      </c>
      <c r="H101" s="38">
        <v>0</v>
      </c>
    </row>
    <row r="102" spans="1:8" x14ac:dyDescent="0.25">
      <c r="A102" s="78"/>
      <c r="D102" s="79" t="s">
        <v>155</v>
      </c>
      <c r="E102" s="378" t="s">
        <v>4</v>
      </c>
      <c r="F102" s="378"/>
      <c r="G102" s="80">
        <v>2</v>
      </c>
      <c r="H102" s="81"/>
    </row>
    <row r="103" spans="1:8" x14ac:dyDescent="0.25">
      <c r="A103" s="1" t="s">
        <v>254</v>
      </c>
      <c r="B103" s="2" t="s">
        <v>82</v>
      </c>
      <c r="C103" s="2" t="s">
        <v>255</v>
      </c>
      <c r="D103" s="284" t="s">
        <v>256</v>
      </c>
      <c r="E103" s="284"/>
      <c r="F103" s="2" t="s">
        <v>191</v>
      </c>
      <c r="G103" s="37">
        <v>10</v>
      </c>
      <c r="H103" s="38">
        <v>0</v>
      </c>
    </row>
    <row r="104" spans="1:8" x14ac:dyDescent="0.25">
      <c r="A104" s="78"/>
      <c r="D104" s="79" t="s">
        <v>185</v>
      </c>
      <c r="E104" s="378" t="s">
        <v>4</v>
      </c>
      <c r="F104" s="378"/>
      <c r="G104" s="80">
        <v>10</v>
      </c>
      <c r="H104" s="81"/>
    </row>
    <row r="105" spans="1:8" x14ac:dyDescent="0.25">
      <c r="A105" s="1" t="s">
        <v>257</v>
      </c>
      <c r="B105" s="2" t="s">
        <v>82</v>
      </c>
      <c r="C105" s="2" t="s">
        <v>258</v>
      </c>
      <c r="D105" s="284" t="s">
        <v>259</v>
      </c>
      <c r="E105" s="284"/>
      <c r="F105" s="2" t="s">
        <v>191</v>
      </c>
      <c r="G105" s="37">
        <v>6</v>
      </c>
      <c r="H105" s="38">
        <v>0</v>
      </c>
    </row>
    <row r="106" spans="1:8" x14ac:dyDescent="0.25">
      <c r="A106" s="78"/>
      <c r="D106" s="79" t="s">
        <v>170</v>
      </c>
      <c r="E106" s="378" t="s">
        <v>4</v>
      </c>
      <c r="F106" s="378"/>
      <c r="G106" s="80">
        <v>6</v>
      </c>
      <c r="H106" s="81"/>
    </row>
    <row r="107" spans="1:8" x14ac:dyDescent="0.25">
      <c r="A107" s="1" t="s">
        <v>260</v>
      </c>
      <c r="B107" s="2" t="s">
        <v>82</v>
      </c>
      <c r="C107" s="2" t="s">
        <v>261</v>
      </c>
      <c r="D107" s="284" t="s">
        <v>262</v>
      </c>
      <c r="E107" s="284"/>
      <c r="F107" s="2" t="s">
        <v>191</v>
      </c>
      <c r="G107" s="37">
        <v>12</v>
      </c>
      <c r="H107" s="38">
        <v>0</v>
      </c>
    </row>
    <row r="108" spans="1:8" x14ac:dyDescent="0.25">
      <c r="A108" s="78"/>
      <c r="D108" s="79" t="s">
        <v>194</v>
      </c>
      <c r="E108" s="378" t="s">
        <v>4</v>
      </c>
      <c r="F108" s="378"/>
      <c r="G108" s="80">
        <v>12</v>
      </c>
      <c r="H108" s="81"/>
    </row>
    <row r="109" spans="1:8" x14ac:dyDescent="0.25">
      <c r="A109" s="1" t="s">
        <v>83</v>
      </c>
      <c r="B109" s="2" t="s">
        <v>82</v>
      </c>
      <c r="C109" s="2" t="s">
        <v>263</v>
      </c>
      <c r="D109" s="284" t="s">
        <v>264</v>
      </c>
      <c r="E109" s="284"/>
      <c r="F109" s="2" t="s">
        <v>191</v>
      </c>
      <c r="G109" s="37">
        <v>6</v>
      </c>
      <c r="H109" s="38">
        <v>0</v>
      </c>
    </row>
    <row r="110" spans="1:8" x14ac:dyDescent="0.25">
      <c r="A110" s="78"/>
      <c r="D110" s="79" t="s">
        <v>170</v>
      </c>
      <c r="E110" s="378" t="s">
        <v>4</v>
      </c>
      <c r="F110" s="378"/>
      <c r="G110" s="80">
        <v>6</v>
      </c>
      <c r="H110" s="81"/>
    </row>
    <row r="111" spans="1:8" x14ac:dyDescent="0.25">
      <c r="A111" s="1" t="s">
        <v>265</v>
      </c>
      <c r="B111" s="2" t="s">
        <v>82</v>
      </c>
      <c r="C111" s="2" t="s">
        <v>266</v>
      </c>
      <c r="D111" s="284" t="s">
        <v>267</v>
      </c>
      <c r="E111" s="284"/>
      <c r="F111" s="2" t="s">
        <v>191</v>
      </c>
      <c r="G111" s="37">
        <v>6</v>
      </c>
      <c r="H111" s="38">
        <v>0</v>
      </c>
    </row>
    <row r="112" spans="1:8" x14ac:dyDescent="0.25">
      <c r="A112" s="78"/>
      <c r="D112" s="79" t="s">
        <v>170</v>
      </c>
      <c r="E112" s="378" t="s">
        <v>4</v>
      </c>
      <c r="F112" s="378"/>
      <c r="G112" s="80">
        <v>6</v>
      </c>
      <c r="H112" s="81"/>
    </row>
    <row r="113" spans="1:8" x14ac:dyDescent="0.25">
      <c r="A113" s="1" t="s">
        <v>268</v>
      </c>
      <c r="B113" s="2" t="s">
        <v>82</v>
      </c>
      <c r="C113" s="2" t="s">
        <v>269</v>
      </c>
      <c r="D113" s="284" t="s">
        <v>270</v>
      </c>
      <c r="E113" s="284"/>
      <c r="F113" s="2" t="s">
        <v>62</v>
      </c>
      <c r="G113" s="37">
        <v>650.00894000000005</v>
      </c>
      <c r="H113" s="38">
        <v>0</v>
      </c>
    </row>
    <row r="114" spans="1:8" x14ac:dyDescent="0.25">
      <c r="A114" s="78"/>
      <c r="D114" s="79" t="s">
        <v>487</v>
      </c>
      <c r="E114" s="378" t="s">
        <v>4</v>
      </c>
      <c r="F114" s="378"/>
      <c r="G114" s="80">
        <v>650.00894000000005</v>
      </c>
      <c r="H114" s="81"/>
    </row>
    <row r="115" spans="1:8" x14ac:dyDescent="0.25">
      <c r="A115" s="77" t="s">
        <v>4</v>
      </c>
      <c r="B115" s="62" t="s">
        <v>82</v>
      </c>
      <c r="C115" s="62" t="s">
        <v>96</v>
      </c>
      <c r="D115" s="371" t="s">
        <v>97</v>
      </c>
      <c r="E115" s="371"/>
      <c r="F115" s="62" t="s">
        <v>4</v>
      </c>
      <c r="G115" s="49" t="s">
        <v>4</v>
      </c>
      <c r="H115" s="65" t="s">
        <v>4</v>
      </c>
    </row>
    <row r="116" spans="1:8" x14ac:dyDescent="0.25">
      <c r="A116" s="1" t="s">
        <v>271</v>
      </c>
      <c r="B116" s="2" t="s">
        <v>82</v>
      </c>
      <c r="C116" s="2" t="s">
        <v>272</v>
      </c>
      <c r="D116" s="284" t="s">
        <v>273</v>
      </c>
      <c r="E116" s="284"/>
      <c r="F116" s="2" t="s">
        <v>191</v>
      </c>
      <c r="G116" s="37">
        <v>24</v>
      </c>
      <c r="H116" s="38">
        <v>0</v>
      </c>
    </row>
    <row r="117" spans="1:8" x14ac:dyDescent="0.25">
      <c r="A117" s="78"/>
      <c r="D117" s="79" t="s">
        <v>194</v>
      </c>
      <c r="E117" s="378" t="s">
        <v>488</v>
      </c>
      <c r="F117" s="378"/>
      <c r="G117" s="80">
        <v>12</v>
      </c>
      <c r="H117" s="81"/>
    </row>
    <row r="118" spans="1:8" x14ac:dyDescent="0.25">
      <c r="A118" s="1" t="s">
        <v>4</v>
      </c>
      <c r="B118" s="2" t="s">
        <v>4</v>
      </c>
      <c r="C118" s="2" t="s">
        <v>4</v>
      </c>
      <c r="D118" s="79" t="s">
        <v>194</v>
      </c>
      <c r="E118" s="378" t="s">
        <v>489</v>
      </c>
      <c r="F118" s="378"/>
      <c r="G118" s="80">
        <v>12</v>
      </c>
      <c r="H118" s="67" t="s">
        <v>4</v>
      </c>
    </row>
    <row r="119" spans="1:8" x14ac:dyDescent="0.25">
      <c r="A119" s="1" t="s">
        <v>275</v>
      </c>
      <c r="B119" s="2" t="s">
        <v>82</v>
      </c>
      <c r="C119" s="2" t="s">
        <v>276</v>
      </c>
      <c r="D119" s="284" t="s">
        <v>277</v>
      </c>
      <c r="E119" s="284"/>
      <c r="F119" s="2" t="s">
        <v>191</v>
      </c>
      <c r="G119" s="37">
        <v>4</v>
      </c>
      <c r="H119" s="38">
        <v>0</v>
      </c>
    </row>
    <row r="120" spans="1:8" x14ac:dyDescent="0.25">
      <c r="A120" s="78"/>
      <c r="D120" s="79" t="s">
        <v>155</v>
      </c>
      <c r="E120" s="378" t="s">
        <v>490</v>
      </c>
      <c r="F120" s="378"/>
      <c r="G120" s="80">
        <v>2</v>
      </c>
      <c r="H120" s="81"/>
    </row>
    <row r="121" spans="1:8" x14ac:dyDescent="0.25">
      <c r="A121" s="1" t="s">
        <v>4</v>
      </c>
      <c r="B121" s="2" t="s">
        <v>4</v>
      </c>
      <c r="C121" s="2" t="s">
        <v>4</v>
      </c>
      <c r="D121" s="79" t="s">
        <v>155</v>
      </c>
      <c r="E121" s="378" t="s">
        <v>491</v>
      </c>
      <c r="F121" s="378"/>
      <c r="G121" s="80">
        <v>2</v>
      </c>
      <c r="H121" s="67" t="s">
        <v>4</v>
      </c>
    </row>
    <row r="122" spans="1:8" x14ac:dyDescent="0.25">
      <c r="A122" s="1" t="s">
        <v>278</v>
      </c>
      <c r="B122" s="2" t="s">
        <v>82</v>
      </c>
      <c r="C122" s="2" t="s">
        <v>279</v>
      </c>
      <c r="D122" s="284" t="s">
        <v>280</v>
      </c>
      <c r="E122" s="284"/>
      <c r="F122" s="2" t="s">
        <v>191</v>
      </c>
      <c r="G122" s="37">
        <v>2</v>
      </c>
      <c r="H122" s="38">
        <v>0</v>
      </c>
    </row>
    <row r="123" spans="1:8" x14ac:dyDescent="0.25">
      <c r="A123" s="78"/>
      <c r="D123" s="79" t="s">
        <v>147</v>
      </c>
      <c r="E123" s="378" t="s">
        <v>490</v>
      </c>
      <c r="F123" s="378"/>
      <c r="G123" s="80">
        <v>1</v>
      </c>
      <c r="H123" s="81"/>
    </row>
    <row r="124" spans="1:8" x14ac:dyDescent="0.25">
      <c r="A124" s="1" t="s">
        <v>4</v>
      </c>
      <c r="B124" s="2" t="s">
        <v>4</v>
      </c>
      <c r="C124" s="2" t="s">
        <v>4</v>
      </c>
      <c r="D124" s="79" t="s">
        <v>147</v>
      </c>
      <c r="E124" s="378" t="s">
        <v>491</v>
      </c>
      <c r="F124" s="378"/>
      <c r="G124" s="80">
        <v>1</v>
      </c>
      <c r="H124" s="67" t="s">
        <v>4</v>
      </c>
    </row>
    <row r="125" spans="1:8" x14ac:dyDescent="0.25">
      <c r="A125" s="1" t="s">
        <v>281</v>
      </c>
      <c r="B125" s="2" t="s">
        <v>82</v>
      </c>
      <c r="C125" s="2" t="s">
        <v>282</v>
      </c>
      <c r="D125" s="284" t="s">
        <v>283</v>
      </c>
      <c r="E125" s="284"/>
      <c r="F125" s="2" t="s">
        <v>191</v>
      </c>
      <c r="G125" s="37">
        <v>2</v>
      </c>
      <c r="H125" s="38">
        <v>0</v>
      </c>
    </row>
    <row r="126" spans="1:8" x14ac:dyDescent="0.25">
      <c r="A126" s="78"/>
      <c r="D126" s="79" t="s">
        <v>147</v>
      </c>
      <c r="E126" s="378" t="s">
        <v>490</v>
      </c>
      <c r="F126" s="378"/>
      <c r="G126" s="80">
        <v>1</v>
      </c>
      <c r="H126" s="81"/>
    </row>
    <row r="127" spans="1:8" x14ac:dyDescent="0.25">
      <c r="A127" s="1" t="s">
        <v>4</v>
      </c>
      <c r="B127" s="2" t="s">
        <v>4</v>
      </c>
      <c r="C127" s="2" t="s">
        <v>4</v>
      </c>
      <c r="D127" s="79" t="s">
        <v>147</v>
      </c>
      <c r="E127" s="378" t="s">
        <v>491</v>
      </c>
      <c r="F127" s="378"/>
      <c r="G127" s="80">
        <v>1</v>
      </c>
      <c r="H127" s="67" t="s">
        <v>4</v>
      </c>
    </row>
    <row r="128" spans="1:8" x14ac:dyDescent="0.25">
      <c r="A128" s="1" t="s">
        <v>284</v>
      </c>
      <c r="B128" s="2" t="s">
        <v>82</v>
      </c>
      <c r="C128" s="2" t="s">
        <v>285</v>
      </c>
      <c r="D128" s="284" t="s">
        <v>286</v>
      </c>
      <c r="E128" s="284"/>
      <c r="F128" s="2" t="s">
        <v>191</v>
      </c>
      <c r="G128" s="37">
        <v>4</v>
      </c>
      <c r="H128" s="38">
        <v>0</v>
      </c>
    </row>
    <row r="129" spans="1:8" x14ac:dyDescent="0.25">
      <c r="A129" s="78"/>
      <c r="D129" s="79" t="s">
        <v>147</v>
      </c>
      <c r="E129" s="378" t="s">
        <v>490</v>
      </c>
      <c r="F129" s="378"/>
      <c r="G129" s="80">
        <v>1</v>
      </c>
      <c r="H129" s="81"/>
    </row>
    <row r="130" spans="1:8" x14ac:dyDescent="0.25">
      <c r="A130" s="1" t="s">
        <v>4</v>
      </c>
      <c r="B130" s="2" t="s">
        <v>4</v>
      </c>
      <c r="C130" s="2" t="s">
        <v>4</v>
      </c>
      <c r="D130" s="79" t="s">
        <v>160</v>
      </c>
      <c r="E130" s="378" t="s">
        <v>491</v>
      </c>
      <c r="F130" s="378"/>
      <c r="G130" s="80">
        <v>3</v>
      </c>
      <c r="H130" s="67" t="s">
        <v>4</v>
      </c>
    </row>
    <row r="131" spans="1:8" x14ac:dyDescent="0.25">
      <c r="A131" s="1" t="s">
        <v>287</v>
      </c>
      <c r="B131" s="2" t="s">
        <v>82</v>
      </c>
      <c r="C131" s="2" t="s">
        <v>288</v>
      </c>
      <c r="D131" s="284" t="s">
        <v>289</v>
      </c>
      <c r="E131" s="284"/>
      <c r="F131" s="2" t="s">
        <v>191</v>
      </c>
      <c r="G131" s="37">
        <v>12</v>
      </c>
      <c r="H131" s="38">
        <v>0</v>
      </c>
    </row>
    <row r="132" spans="1:8" x14ac:dyDescent="0.25">
      <c r="A132" s="78"/>
      <c r="D132" s="79" t="s">
        <v>194</v>
      </c>
      <c r="E132" s="378" t="s">
        <v>4</v>
      </c>
      <c r="F132" s="378"/>
      <c r="G132" s="80">
        <v>12</v>
      </c>
      <c r="H132" s="81"/>
    </row>
    <row r="133" spans="1:8" x14ac:dyDescent="0.25">
      <c r="A133" s="1" t="s">
        <v>290</v>
      </c>
      <c r="B133" s="2" t="s">
        <v>82</v>
      </c>
      <c r="C133" s="2" t="s">
        <v>291</v>
      </c>
      <c r="D133" s="284" t="s">
        <v>292</v>
      </c>
      <c r="E133" s="284"/>
      <c r="F133" s="2" t="s">
        <v>191</v>
      </c>
      <c r="G133" s="37">
        <v>12</v>
      </c>
      <c r="H133" s="38">
        <v>0</v>
      </c>
    </row>
    <row r="134" spans="1:8" x14ac:dyDescent="0.25">
      <c r="A134" s="78"/>
      <c r="D134" s="79" t="s">
        <v>194</v>
      </c>
      <c r="E134" s="378" t="s">
        <v>4</v>
      </c>
      <c r="F134" s="378"/>
      <c r="G134" s="80">
        <v>12</v>
      </c>
      <c r="H134" s="81"/>
    </row>
    <row r="135" spans="1:8" x14ac:dyDescent="0.25">
      <c r="A135" s="1" t="s">
        <v>293</v>
      </c>
      <c r="B135" s="2" t="s">
        <v>82</v>
      </c>
      <c r="C135" s="2" t="s">
        <v>294</v>
      </c>
      <c r="D135" s="284" t="s">
        <v>295</v>
      </c>
      <c r="E135" s="284"/>
      <c r="F135" s="2" t="s">
        <v>296</v>
      </c>
      <c r="G135" s="37">
        <v>1</v>
      </c>
      <c r="H135" s="38">
        <v>0</v>
      </c>
    </row>
    <row r="136" spans="1:8" x14ac:dyDescent="0.25">
      <c r="A136" s="78"/>
      <c r="D136" s="79" t="s">
        <v>147</v>
      </c>
      <c r="E136" s="378" t="s">
        <v>4</v>
      </c>
      <c r="F136" s="378"/>
      <c r="G136" s="80">
        <v>1</v>
      </c>
      <c r="H136" s="81"/>
    </row>
    <row r="137" spans="1:8" x14ac:dyDescent="0.25">
      <c r="A137" s="1" t="s">
        <v>298</v>
      </c>
      <c r="B137" s="2" t="s">
        <v>82</v>
      </c>
      <c r="C137" s="2" t="s">
        <v>299</v>
      </c>
      <c r="D137" s="284" t="s">
        <v>300</v>
      </c>
      <c r="E137" s="284"/>
      <c r="F137" s="2" t="s">
        <v>191</v>
      </c>
      <c r="G137" s="37">
        <v>1</v>
      </c>
      <c r="H137" s="38">
        <v>0</v>
      </c>
    </row>
    <row r="138" spans="1:8" x14ac:dyDescent="0.25">
      <c r="A138" s="78"/>
      <c r="D138" s="79" t="s">
        <v>147</v>
      </c>
      <c r="E138" s="378" t="s">
        <v>4</v>
      </c>
      <c r="F138" s="378"/>
      <c r="G138" s="80">
        <v>1</v>
      </c>
      <c r="H138" s="81"/>
    </row>
    <row r="139" spans="1:8" x14ac:dyDescent="0.25">
      <c r="A139" s="1" t="s">
        <v>301</v>
      </c>
      <c r="B139" s="2" t="s">
        <v>82</v>
      </c>
      <c r="C139" s="2" t="s">
        <v>302</v>
      </c>
      <c r="D139" s="284" t="s">
        <v>303</v>
      </c>
      <c r="E139" s="284"/>
      <c r="F139" s="2" t="s">
        <v>62</v>
      </c>
      <c r="G139" s="37">
        <v>1369.8030000000001</v>
      </c>
      <c r="H139" s="38">
        <v>0</v>
      </c>
    </row>
    <row r="140" spans="1:8" x14ac:dyDescent="0.25">
      <c r="A140" s="78"/>
      <c r="D140" s="79" t="s">
        <v>492</v>
      </c>
      <c r="E140" s="378" t="s">
        <v>4</v>
      </c>
      <c r="F140" s="378"/>
      <c r="G140" s="80">
        <v>1369.8030000000001</v>
      </c>
      <c r="H140" s="81"/>
    </row>
    <row r="141" spans="1:8" x14ac:dyDescent="0.25">
      <c r="A141" s="77" t="s">
        <v>4</v>
      </c>
      <c r="B141" s="62" t="s">
        <v>82</v>
      </c>
      <c r="C141" s="62" t="s">
        <v>98</v>
      </c>
      <c r="D141" s="371" t="s">
        <v>99</v>
      </c>
      <c r="E141" s="371"/>
      <c r="F141" s="62" t="s">
        <v>4</v>
      </c>
      <c r="G141" s="49" t="s">
        <v>4</v>
      </c>
      <c r="H141" s="65" t="s">
        <v>4</v>
      </c>
    </row>
    <row r="142" spans="1:8" x14ac:dyDescent="0.25">
      <c r="A142" s="1" t="s">
        <v>304</v>
      </c>
      <c r="B142" s="2" t="s">
        <v>82</v>
      </c>
      <c r="C142" s="2" t="s">
        <v>305</v>
      </c>
      <c r="D142" s="284" t="s">
        <v>306</v>
      </c>
      <c r="E142" s="284"/>
      <c r="F142" s="2" t="s">
        <v>191</v>
      </c>
      <c r="G142" s="37">
        <v>45</v>
      </c>
      <c r="H142" s="38">
        <v>0</v>
      </c>
    </row>
    <row r="143" spans="1:8" x14ac:dyDescent="0.25">
      <c r="A143" s="78"/>
      <c r="D143" s="79" t="s">
        <v>185</v>
      </c>
      <c r="E143" s="378" t="s">
        <v>451</v>
      </c>
      <c r="F143" s="378"/>
      <c r="G143" s="80">
        <v>10</v>
      </c>
      <c r="H143" s="81"/>
    </row>
    <row r="144" spans="1:8" x14ac:dyDescent="0.25">
      <c r="A144" s="1" t="s">
        <v>4</v>
      </c>
      <c r="B144" s="2" t="s">
        <v>4</v>
      </c>
      <c r="C144" s="2" t="s">
        <v>4</v>
      </c>
      <c r="D144" s="79" t="s">
        <v>194</v>
      </c>
      <c r="E144" s="378" t="s">
        <v>470</v>
      </c>
      <c r="F144" s="378"/>
      <c r="G144" s="80">
        <v>12</v>
      </c>
      <c r="H144" s="67" t="s">
        <v>4</v>
      </c>
    </row>
    <row r="145" spans="1:8" x14ac:dyDescent="0.25">
      <c r="A145" s="1" t="s">
        <v>4</v>
      </c>
      <c r="B145" s="2" t="s">
        <v>4</v>
      </c>
      <c r="C145" s="2" t="s">
        <v>4</v>
      </c>
      <c r="D145" s="79" t="s">
        <v>188</v>
      </c>
      <c r="E145" s="378" t="s">
        <v>472</v>
      </c>
      <c r="F145" s="378"/>
      <c r="G145" s="80">
        <v>11</v>
      </c>
      <c r="H145" s="67" t="s">
        <v>4</v>
      </c>
    </row>
    <row r="146" spans="1:8" x14ac:dyDescent="0.25">
      <c r="A146" s="1" t="s">
        <v>4</v>
      </c>
      <c r="B146" s="2" t="s">
        <v>4</v>
      </c>
      <c r="C146" s="2" t="s">
        <v>4</v>
      </c>
      <c r="D146" s="79" t="s">
        <v>194</v>
      </c>
      <c r="E146" s="378" t="s">
        <v>474</v>
      </c>
      <c r="F146" s="378"/>
      <c r="G146" s="80">
        <v>12</v>
      </c>
      <c r="H146" s="67" t="s">
        <v>4</v>
      </c>
    </row>
    <row r="147" spans="1:8" x14ac:dyDescent="0.25">
      <c r="A147" s="1" t="s">
        <v>309</v>
      </c>
      <c r="B147" s="2" t="s">
        <v>82</v>
      </c>
      <c r="C147" s="2" t="s">
        <v>310</v>
      </c>
      <c r="D147" s="284" t="s">
        <v>311</v>
      </c>
      <c r="E147" s="284"/>
      <c r="F147" s="2" t="s">
        <v>191</v>
      </c>
      <c r="G147" s="37">
        <v>1</v>
      </c>
      <c r="H147" s="38">
        <v>0</v>
      </c>
    </row>
    <row r="148" spans="1:8" x14ac:dyDescent="0.25">
      <c r="A148" s="78"/>
      <c r="D148" s="79" t="s">
        <v>147</v>
      </c>
      <c r="E148" s="378" t="s">
        <v>451</v>
      </c>
      <c r="F148" s="378"/>
      <c r="G148" s="80">
        <v>1</v>
      </c>
      <c r="H148" s="81"/>
    </row>
    <row r="149" spans="1:8" x14ac:dyDescent="0.25">
      <c r="A149" s="1" t="s">
        <v>312</v>
      </c>
      <c r="B149" s="2" t="s">
        <v>82</v>
      </c>
      <c r="C149" s="2" t="s">
        <v>313</v>
      </c>
      <c r="D149" s="284" t="s">
        <v>314</v>
      </c>
      <c r="E149" s="284"/>
      <c r="F149" s="2" t="s">
        <v>191</v>
      </c>
      <c r="G149" s="37">
        <v>9</v>
      </c>
      <c r="H149" s="38">
        <v>0</v>
      </c>
    </row>
    <row r="150" spans="1:8" x14ac:dyDescent="0.25">
      <c r="A150" s="78"/>
      <c r="D150" s="79" t="s">
        <v>182</v>
      </c>
      <c r="E150" s="378" t="s">
        <v>451</v>
      </c>
      <c r="F150" s="378"/>
      <c r="G150" s="80">
        <v>9</v>
      </c>
      <c r="H150" s="81"/>
    </row>
    <row r="151" spans="1:8" x14ac:dyDescent="0.25">
      <c r="A151" s="1" t="s">
        <v>315</v>
      </c>
      <c r="B151" s="2" t="s">
        <v>82</v>
      </c>
      <c r="C151" s="2" t="s">
        <v>316</v>
      </c>
      <c r="D151" s="284" t="s">
        <v>317</v>
      </c>
      <c r="E151" s="284"/>
      <c r="F151" s="2" t="s">
        <v>191</v>
      </c>
      <c r="G151" s="37">
        <v>51</v>
      </c>
      <c r="H151" s="38">
        <v>0</v>
      </c>
    </row>
    <row r="152" spans="1:8" x14ac:dyDescent="0.25">
      <c r="A152" s="78"/>
      <c r="D152" s="79" t="s">
        <v>493</v>
      </c>
      <c r="E152" s="378" t="s">
        <v>451</v>
      </c>
      <c r="F152" s="378"/>
      <c r="G152" s="80">
        <v>13</v>
      </c>
      <c r="H152" s="81"/>
    </row>
    <row r="153" spans="1:8" x14ac:dyDescent="0.25">
      <c r="A153" s="1" t="s">
        <v>4</v>
      </c>
      <c r="B153" s="2" t="s">
        <v>4</v>
      </c>
      <c r="C153" s="2" t="s">
        <v>4</v>
      </c>
      <c r="D153" s="79" t="s">
        <v>494</v>
      </c>
      <c r="E153" s="378" t="s">
        <v>470</v>
      </c>
      <c r="F153" s="378"/>
      <c r="G153" s="80">
        <v>15</v>
      </c>
      <c r="H153" s="67" t="s">
        <v>4</v>
      </c>
    </row>
    <row r="154" spans="1:8" x14ac:dyDescent="0.25">
      <c r="A154" s="1" t="s">
        <v>4</v>
      </c>
      <c r="B154" s="2" t="s">
        <v>4</v>
      </c>
      <c r="C154" s="2" t="s">
        <v>4</v>
      </c>
      <c r="D154" s="79" t="s">
        <v>495</v>
      </c>
      <c r="E154" s="378" t="s">
        <v>472</v>
      </c>
      <c r="F154" s="378"/>
      <c r="G154" s="80">
        <v>12</v>
      </c>
      <c r="H154" s="67" t="s">
        <v>4</v>
      </c>
    </row>
    <row r="155" spans="1:8" x14ac:dyDescent="0.25">
      <c r="A155" s="1" t="s">
        <v>4</v>
      </c>
      <c r="B155" s="2" t="s">
        <v>4</v>
      </c>
      <c r="C155" s="2" t="s">
        <v>4</v>
      </c>
      <c r="D155" s="79" t="s">
        <v>496</v>
      </c>
      <c r="E155" s="378" t="s">
        <v>474</v>
      </c>
      <c r="F155" s="378"/>
      <c r="G155" s="80">
        <v>11</v>
      </c>
      <c r="H155" s="67" t="s">
        <v>4</v>
      </c>
    </row>
    <row r="156" spans="1:8" x14ac:dyDescent="0.25">
      <c r="A156" s="1" t="s">
        <v>318</v>
      </c>
      <c r="B156" s="2" t="s">
        <v>82</v>
      </c>
      <c r="C156" s="2" t="s">
        <v>319</v>
      </c>
      <c r="D156" s="284" t="s">
        <v>320</v>
      </c>
      <c r="E156" s="284"/>
      <c r="F156" s="2" t="s">
        <v>191</v>
      </c>
      <c r="G156" s="37">
        <v>7</v>
      </c>
      <c r="H156" s="38">
        <v>0</v>
      </c>
    </row>
    <row r="157" spans="1:8" x14ac:dyDescent="0.25">
      <c r="A157" s="78"/>
      <c r="D157" s="79" t="s">
        <v>160</v>
      </c>
      <c r="E157" s="378" t="s">
        <v>451</v>
      </c>
      <c r="F157" s="378"/>
      <c r="G157" s="80">
        <v>3</v>
      </c>
      <c r="H157" s="81"/>
    </row>
    <row r="158" spans="1:8" x14ac:dyDescent="0.25">
      <c r="A158" s="1" t="s">
        <v>4</v>
      </c>
      <c r="B158" s="2" t="s">
        <v>4</v>
      </c>
      <c r="C158" s="2" t="s">
        <v>4</v>
      </c>
      <c r="D158" s="79" t="s">
        <v>147</v>
      </c>
      <c r="E158" s="378" t="s">
        <v>470</v>
      </c>
      <c r="F158" s="378"/>
      <c r="G158" s="80">
        <v>1</v>
      </c>
      <c r="H158" s="67" t="s">
        <v>4</v>
      </c>
    </row>
    <row r="159" spans="1:8" x14ac:dyDescent="0.25">
      <c r="A159" s="1" t="s">
        <v>4</v>
      </c>
      <c r="B159" s="2" t="s">
        <v>4</v>
      </c>
      <c r="C159" s="2" t="s">
        <v>4</v>
      </c>
      <c r="D159" s="79" t="s">
        <v>155</v>
      </c>
      <c r="E159" s="378" t="s">
        <v>472</v>
      </c>
      <c r="F159" s="378"/>
      <c r="G159" s="80">
        <v>2</v>
      </c>
      <c r="H159" s="67" t="s">
        <v>4</v>
      </c>
    </row>
    <row r="160" spans="1:8" x14ac:dyDescent="0.25">
      <c r="A160" s="1" t="s">
        <v>4</v>
      </c>
      <c r="B160" s="2" t="s">
        <v>4</v>
      </c>
      <c r="C160" s="2" t="s">
        <v>4</v>
      </c>
      <c r="D160" s="79" t="s">
        <v>147</v>
      </c>
      <c r="E160" s="378" t="s">
        <v>474</v>
      </c>
      <c r="F160" s="378"/>
      <c r="G160" s="80">
        <v>1</v>
      </c>
      <c r="H160" s="67" t="s">
        <v>4</v>
      </c>
    </row>
    <row r="161" spans="1:8" x14ac:dyDescent="0.25">
      <c r="A161" s="1" t="s">
        <v>321</v>
      </c>
      <c r="B161" s="2" t="s">
        <v>82</v>
      </c>
      <c r="C161" s="2" t="s">
        <v>322</v>
      </c>
      <c r="D161" s="284" t="s">
        <v>323</v>
      </c>
      <c r="E161" s="284"/>
      <c r="F161" s="2" t="s">
        <v>191</v>
      </c>
      <c r="G161" s="37">
        <v>44</v>
      </c>
      <c r="H161" s="38">
        <v>0</v>
      </c>
    </row>
    <row r="162" spans="1:8" x14ac:dyDescent="0.25">
      <c r="A162" s="78"/>
      <c r="D162" s="79" t="s">
        <v>497</v>
      </c>
      <c r="E162" s="378" t="s">
        <v>451</v>
      </c>
      <c r="F162" s="378"/>
      <c r="G162" s="80">
        <v>10</v>
      </c>
      <c r="H162" s="81"/>
    </row>
    <row r="163" spans="1:8" x14ac:dyDescent="0.25">
      <c r="A163" s="1" t="s">
        <v>4</v>
      </c>
      <c r="B163" s="2" t="s">
        <v>4</v>
      </c>
      <c r="C163" s="2" t="s">
        <v>4</v>
      </c>
      <c r="D163" s="79" t="s">
        <v>200</v>
      </c>
      <c r="E163" s="378" t="s">
        <v>470</v>
      </c>
      <c r="F163" s="378"/>
      <c r="G163" s="80">
        <v>14</v>
      </c>
      <c r="H163" s="67" t="s">
        <v>4</v>
      </c>
    </row>
    <row r="164" spans="1:8" x14ac:dyDescent="0.25">
      <c r="A164" s="1" t="s">
        <v>4</v>
      </c>
      <c r="B164" s="2" t="s">
        <v>4</v>
      </c>
      <c r="C164" s="2" t="s">
        <v>4</v>
      </c>
      <c r="D164" s="79" t="s">
        <v>185</v>
      </c>
      <c r="E164" s="378" t="s">
        <v>472</v>
      </c>
      <c r="F164" s="378"/>
      <c r="G164" s="80">
        <v>10</v>
      </c>
      <c r="H164" s="67" t="s">
        <v>4</v>
      </c>
    </row>
    <row r="165" spans="1:8" x14ac:dyDescent="0.25">
      <c r="A165" s="1" t="s">
        <v>4</v>
      </c>
      <c r="B165" s="2" t="s">
        <v>4</v>
      </c>
      <c r="C165" s="2" t="s">
        <v>4</v>
      </c>
      <c r="D165" s="79" t="s">
        <v>185</v>
      </c>
      <c r="E165" s="378" t="s">
        <v>474</v>
      </c>
      <c r="F165" s="378"/>
      <c r="G165" s="80">
        <v>10</v>
      </c>
      <c r="H165" s="67" t="s">
        <v>4</v>
      </c>
    </row>
    <row r="166" spans="1:8" x14ac:dyDescent="0.25">
      <c r="A166" s="1" t="s">
        <v>324</v>
      </c>
      <c r="B166" s="2" t="s">
        <v>82</v>
      </c>
      <c r="C166" s="2" t="s">
        <v>325</v>
      </c>
      <c r="D166" s="284" t="s">
        <v>326</v>
      </c>
      <c r="E166" s="284"/>
      <c r="F166" s="2" t="s">
        <v>191</v>
      </c>
      <c r="G166" s="37">
        <v>51</v>
      </c>
      <c r="H166" s="38">
        <v>0</v>
      </c>
    </row>
    <row r="167" spans="1:8" x14ac:dyDescent="0.25">
      <c r="A167" s="78"/>
      <c r="D167" s="79" t="s">
        <v>197</v>
      </c>
      <c r="E167" s="378" t="s">
        <v>451</v>
      </c>
      <c r="F167" s="378"/>
      <c r="G167" s="80">
        <v>13</v>
      </c>
      <c r="H167" s="81"/>
    </row>
    <row r="168" spans="1:8" x14ac:dyDescent="0.25">
      <c r="A168" s="1" t="s">
        <v>4</v>
      </c>
      <c r="B168" s="2" t="s">
        <v>4</v>
      </c>
      <c r="C168" s="2" t="s">
        <v>4</v>
      </c>
      <c r="D168" s="79" t="s">
        <v>494</v>
      </c>
      <c r="E168" s="378" t="s">
        <v>470</v>
      </c>
      <c r="F168" s="378"/>
      <c r="G168" s="80">
        <v>15</v>
      </c>
      <c r="H168" s="67" t="s">
        <v>4</v>
      </c>
    </row>
    <row r="169" spans="1:8" x14ac:dyDescent="0.25">
      <c r="A169" s="1" t="s">
        <v>4</v>
      </c>
      <c r="B169" s="2" t="s">
        <v>4</v>
      </c>
      <c r="C169" s="2" t="s">
        <v>4</v>
      </c>
      <c r="D169" s="79" t="s">
        <v>495</v>
      </c>
      <c r="E169" s="378" t="s">
        <v>472</v>
      </c>
      <c r="F169" s="378"/>
      <c r="G169" s="80">
        <v>12</v>
      </c>
      <c r="H169" s="67" t="s">
        <v>4</v>
      </c>
    </row>
    <row r="170" spans="1:8" x14ac:dyDescent="0.25">
      <c r="A170" s="1" t="s">
        <v>4</v>
      </c>
      <c r="B170" s="2" t="s">
        <v>4</v>
      </c>
      <c r="C170" s="2" t="s">
        <v>4</v>
      </c>
      <c r="D170" s="79" t="s">
        <v>496</v>
      </c>
      <c r="E170" s="378" t="s">
        <v>474</v>
      </c>
      <c r="F170" s="378"/>
      <c r="G170" s="80">
        <v>11</v>
      </c>
      <c r="H170" s="67" t="s">
        <v>4</v>
      </c>
    </row>
    <row r="171" spans="1:8" x14ac:dyDescent="0.25">
      <c r="A171" s="1" t="s">
        <v>327</v>
      </c>
      <c r="B171" s="2" t="s">
        <v>82</v>
      </c>
      <c r="C171" s="2" t="s">
        <v>328</v>
      </c>
      <c r="D171" s="284" t="s">
        <v>329</v>
      </c>
      <c r="E171" s="284"/>
      <c r="F171" s="2" t="s">
        <v>191</v>
      </c>
      <c r="G171" s="37">
        <v>51</v>
      </c>
      <c r="H171" s="38">
        <v>0</v>
      </c>
    </row>
    <row r="172" spans="1:8" x14ac:dyDescent="0.25">
      <c r="A172" s="78"/>
      <c r="D172" s="79" t="s">
        <v>197</v>
      </c>
      <c r="E172" s="378" t="s">
        <v>451</v>
      </c>
      <c r="F172" s="378"/>
      <c r="G172" s="80">
        <v>13</v>
      </c>
      <c r="H172" s="81"/>
    </row>
    <row r="173" spans="1:8" x14ac:dyDescent="0.25">
      <c r="A173" s="1" t="s">
        <v>4</v>
      </c>
      <c r="B173" s="2" t="s">
        <v>4</v>
      </c>
      <c r="C173" s="2" t="s">
        <v>4</v>
      </c>
      <c r="D173" s="79" t="s">
        <v>494</v>
      </c>
      <c r="E173" s="378" t="s">
        <v>470</v>
      </c>
      <c r="F173" s="378"/>
      <c r="G173" s="80">
        <v>15</v>
      </c>
      <c r="H173" s="67" t="s">
        <v>4</v>
      </c>
    </row>
    <row r="174" spans="1:8" x14ac:dyDescent="0.25">
      <c r="A174" s="1" t="s">
        <v>4</v>
      </c>
      <c r="B174" s="2" t="s">
        <v>4</v>
      </c>
      <c r="C174" s="2" t="s">
        <v>4</v>
      </c>
      <c r="D174" s="79" t="s">
        <v>495</v>
      </c>
      <c r="E174" s="378" t="s">
        <v>472</v>
      </c>
      <c r="F174" s="378"/>
      <c r="G174" s="80">
        <v>12</v>
      </c>
      <c r="H174" s="67" t="s">
        <v>4</v>
      </c>
    </row>
    <row r="175" spans="1:8" x14ac:dyDescent="0.25">
      <c r="A175" s="1" t="s">
        <v>4</v>
      </c>
      <c r="B175" s="2" t="s">
        <v>4</v>
      </c>
      <c r="C175" s="2" t="s">
        <v>4</v>
      </c>
      <c r="D175" s="79" t="s">
        <v>496</v>
      </c>
      <c r="E175" s="378" t="s">
        <v>474</v>
      </c>
      <c r="F175" s="378"/>
      <c r="G175" s="80">
        <v>11</v>
      </c>
      <c r="H175" s="67" t="s">
        <v>4</v>
      </c>
    </row>
    <row r="176" spans="1:8" x14ac:dyDescent="0.25">
      <c r="A176" s="1" t="s">
        <v>330</v>
      </c>
      <c r="B176" s="2" t="s">
        <v>82</v>
      </c>
      <c r="C176" s="2" t="s">
        <v>331</v>
      </c>
      <c r="D176" s="284" t="s">
        <v>332</v>
      </c>
      <c r="E176" s="284"/>
      <c r="F176" s="2" t="s">
        <v>62</v>
      </c>
      <c r="G176" s="37">
        <v>1761.1035999999999</v>
      </c>
      <c r="H176" s="38">
        <v>0</v>
      </c>
    </row>
    <row r="177" spans="1:8" x14ac:dyDescent="0.25">
      <c r="A177" s="78"/>
      <c r="D177" s="79" t="s">
        <v>498</v>
      </c>
      <c r="E177" s="378" t="s">
        <v>4</v>
      </c>
      <c r="F177" s="378"/>
      <c r="G177" s="80">
        <v>1761.1035999999999</v>
      </c>
      <c r="H177" s="81"/>
    </row>
    <row r="178" spans="1:8" x14ac:dyDescent="0.25">
      <c r="A178" s="77" t="s">
        <v>4</v>
      </c>
      <c r="B178" s="62" t="s">
        <v>82</v>
      </c>
      <c r="C178" s="62" t="s">
        <v>100</v>
      </c>
      <c r="D178" s="371" t="s">
        <v>101</v>
      </c>
      <c r="E178" s="371"/>
      <c r="F178" s="62" t="s">
        <v>4</v>
      </c>
      <c r="G178" s="49" t="s">
        <v>4</v>
      </c>
      <c r="H178" s="65" t="s">
        <v>4</v>
      </c>
    </row>
    <row r="179" spans="1:8" x14ac:dyDescent="0.25">
      <c r="A179" s="1" t="s">
        <v>333</v>
      </c>
      <c r="B179" s="2" t="s">
        <v>82</v>
      </c>
      <c r="C179" s="2" t="s">
        <v>334</v>
      </c>
      <c r="D179" s="284" t="s">
        <v>335</v>
      </c>
      <c r="E179" s="284"/>
      <c r="F179" s="2" t="s">
        <v>150</v>
      </c>
      <c r="G179" s="37">
        <v>404.7</v>
      </c>
      <c r="H179" s="38">
        <v>0</v>
      </c>
    </row>
    <row r="180" spans="1:8" x14ac:dyDescent="0.25">
      <c r="A180" s="78"/>
      <c r="D180" s="79" t="s">
        <v>479</v>
      </c>
      <c r="E180" s="378" t="s">
        <v>451</v>
      </c>
      <c r="F180" s="378"/>
      <c r="G180" s="80">
        <v>100.2</v>
      </c>
      <c r="H180" s="81"/>
    </row>
    <row r="181" spans="1:8" x14ac:dyDescent="0.25">
      <c r="A181" s="1" t="s">
        <v>4</v>
      </c>
      <c r="B181" s="2" t="s">
        <v>4</v>
      </c>
      <c r="C181" s="2" t="s">
        <v>4</v>
      </c>
      <c r="D181" s="79" t="s">
        <v>469</v>
      </c>
      <c r="E181" s="378" t="s">
        <v>470</v>
      </c>
      <c r="F181" s="378"/>
      <c r="G181" s="80">
        <v>101.9</v>
      </c>
      <c r="H181" s="67" t="s">
        <v>4</v>
      </c>
    </row>
    <row r="182" spans="1:8" x14ac:dyDescent="0.25">
      <c r="A182" s="1" t="s">
        <v>4</v>
      </c>
      <c r="B182" s="2" t="s">
        <v>4</v>
      </c>
      <c r="C182" s="2" t="s">
        <v>4</v>
      </c>
      <c r="D182" s="79" t="s">
        <v>471</v>
      </c>
      <c r="E182" s="378" t="s">
        <v>472</v>
      </c>
      <c r="F182" s="378"/>
      <c r="G182" s="80">
        <v>100.7</v>
      </c>
      <c r="H182" s="67" t="s">
        <v>4</v>
      </c>
    </row>
    <row r="183" spans="1:8" x14ac:dyDescent="0.25">
      <c r="A183" s="1" t="s">
        <v>4</v>
      </c>
      <c r="B183" s="2" t="s">
        <v>4</v>
      </c>
      <c r="C183" s="2" t="s">
        <v>4</v>
      </c>
      <c r="D183" s="79" t="s">
        <v>473</v>
      </c>
      <c r="E183" s="378" t="s">
        <v>474</v>
      </c>
      <c r="F183" s="378"/>
      <c r="G183" s="80">
        <v>101.9</v>
      </c>
      <c r="H183" s="67" t="s">
        <v>4</v>
      </c>
    </row>
    <row r="184" spans="1:8" x14ac:dyDescent="0.25">
      <c r="A184" s="1" t="s">
        <v>338</v>
      </c>
      <c r="B184" s="2" t="s">
        <v>82</v>
      </c>
      <c r="C184" s="2" t="s">
        <v>339</v>
      </c>
      <c r="D184" s="284" t="s">
        <v>340</v>
      </c>
      <c r="E184" s="284"/>
      <c r="F184" s="2" t="s">
        <v>150</v>
      </c>
      <c r="G184" s="37">
        <v>404.7</v>
      </c>
      <c r="H184" s="38">
        <v>0</v>
      </c>
    </row>
    <row r="185" spans="1:8" x14ac:dyDescent="0.25">
      <c r="A185" s="78"/>
      <c r="D185" s="79" t="s">
        <v>479</v>
      </c>
      <c r="E185" s="378" t="s">
        <v>451</v>
      </c>
      <c r="F185" s="378"/>
      <c r="G185" s="80">
        <v>100.2</v>
      </c>
      <c r="H185" s="81"/>
    </row>
    <row r="186" spans="1:8" x14ac:dyDescent="0.25">
      <c r="A186" s="1" t="s">
        <v>4</v>
      </c>
      <c r="B186" s="2" t="s">
        <v>4</v>
      </c>
      <c r="C186" s="2" t="s">
        <v>4</v>
      </c>
      <c r="D186" s="79" t="s">
        <v>469</v>
      </c>
      <c r="E186" s="378" t="s">
        <v>470</v>
      </c>
      <c r="F186" s="378"/>
      <c r="G186" s="80">
        <v>101.9</v>
      </c>
      <c r="H186" s="67" t="s">
        <v>4</v>
      </c>
    </row>
    <row r="187" spans="1:8" x14ac:dyDescent="0.25">
      <c r="A187" s="1" t="s">
        <v>4</v>
      </c>
      <c r="B187" s="2" t="s">
        <v>4</v>
      </c>
      <c r="C187" s="2" t="s">
        <v>4</v>
      </c>
      <c r="D187" s="79" t="s">
        <v>471</v>
      </c>
      <c r="E187" s="378" t="s">
        <v>472</v>
      </c>
      <c r="F187" s="378"/>
      <c r="G187" s="80">
        <v>100.7</v>
      </c>
      <c r="H187" s="67" t="s">
        <v>4</v>
      </c>
    </row>
    <row r="188" spans="1:8" x14ac:dyDescent="0.25">
      <c r="A188" s="1" t="s">
        <v>4</v>
      </c>
      <c r="B188" s="2" t="s">
        <v>4</v>
      </c>
      <c r="C188" s="2" t="s">
        <v>4</v>
      </c>
      <c r="D188" s="79" t="s">
        <v>473</v>
      </c>
      <c r="E188" s="378" t="s">
        <v>474</v>
      </c>
      <c r="F188" s="378"/>
      <c r="G188" s="80">
        <v>101.9</v>
      </c>
      <c r="H188" s="67" t="s">
        <v>4</v>
      </c>
    </row>
    <row r="189" spans="1:8" x14ac:dyDescent="0.25">
      <c r="A189" s="1" t="s">
        <v>341</v>
      </c>
      <c r="B189" s="2" t="s">
        <v>82</v>
      </c>
      <c r="C189" s="2" t="s">
        <v>342</v>
      </c>
      <c r="D189" s="284" t="s">
        <v>343</v>
      </c>
      <c r="E189" s="284"/>
      <c r="F189" s="2" t="s">
        <v>150</v>
      </c>
      <c r="G189" s="37">
        <v>404.7</v>
      </c>
      <c r="H189" s="38">
        <v>0</v>
      </c>
    </row>
    <row r="190" spans="1:8" x14ac:dyDescent="0.25">
      <c r="A190" s="78"/>
      <c r="D190" s="79" t="s">
        <v>479</v>
      </c>
      <c r="E190" s="378" t="s">
        <v>451</v>
      </c>
      <c r="F190" s="378"/>
      <c r="G190" s="80">
        <v>100.2</v>
      </c>
      <c r="H190" s="81"/>
    </row>
    <row r="191" spans="1:8" x14ac:dyDescent="0.25">
      <c r="A191" s="1" t="s">
        <v>4</v>
      </c>
      <c r="B191" s="2" t="s">
        <v>4</v>
      </c>
      <c r="C191" s="2" t="s">
        <v>4</v>
      </c>
      <c r="D191" s="79" t="s">
        <v>469</v>
      </c>
      <c r="E191" s="378" t="s">
        <v>470</v>
      </c>
      <c r="F191" s="378"/>
      <c r="G191" s="80">
        <v>101.9</v>
      </c>
      <c r="H191" s="67" t="s">
        <v>4</v>
      </c>
    </row>
    <row r="192" spans="1:8" x14ac:dyDescent="0.25">
      <c r="A192" s="1" t="s">
        <v>4</v>
      </c>
      <c r="B192" s="2" t="s">
        <v>4</v>
      </c>
      <c r="C192" s="2" t="s">
        <v>4</v>
      </c>
      <c r="D192" s="79" t="s">
        <v>471</v>
      </c>
      <c r="E192" s="378" t="s">
        <v>472</v>
      </c>
      <c r="F192" s="378"/>
      <c r="G192" s="80">
        <v>100.7</v>
      </c>
      <c r="H192" s="67" t="s">
        <v>4</v>
      </c>
    </row>
    <row r="193" spans="1:8" x14ac:dyDescent="0.25">
      <c r="A193" s="1" t="s">
        <v>4</v>
      </c>
      <c r="B193" s="2" t="s">
        <v>4</v>
      </c>
      <c r="C193" s="2" t="s">
        <v>4</v>
      </c>
      <c r="D193" s="79" t="s">
        <v>473</v>
      </c>
      <c r="E193" s="378" t="s">
        <v>474</v>
      </c>
      <c r="F193" s="378"/>
      <c r="G193" s="80">
        <v>101.9</v>
      </c>
      <c r="H193" s="67" t="s">
        <v>4</v>
      </c>
    </row>
    <row r="194" spans="1:8" x14ac:dyDescent="0.25">
      <c r="A194" s="1" t="s">
        <v>344</v>
      </c>
      <c r="B194" s="2" t="s">
        <v>82</v>
      </c>
      <c r="C194" s="2" t="s">
        <v>345</v>
      </c>
      <c r="D194" s="284" t="s">
        <v>346</v>
      </c>
      <c r="E194" s="284"/>
      <c r="F194" s="2" t="s">
        <v>150</v>
      </c>
      <c r="G194" s="37">
        <v>408.34255000000002</v>
      </c>
      <c r="H194" s="38">
        <v>0</v>
      </c>
    </row>
    <row r="195" spans="1:8" x14ac:dyDescent="0.25">
      <c r="A195" s="78"/>
      <c r="D195" s="79" t="s">
        <v>499</v>
      </c>
      <c r="E195" s="378" t="s">
        <v>451</v>
      </c>
      <c r="F195" s="378"/>
      <c r="G195" s="80">
        <v>99.2</v>
      </c>
      <c r="H195" s="81"/>
    </row>
    <row r="196" spans="1:8" x14ac:dyDescent="0.25">
      <c r="A196" s="1" t="s">
        <v>4</v>
      </c>
      <c r="B196" s="2" t="s">
        <v>4</v>
      </c>
      <c r="C196" s="2" t="s">
        <v>4</v>
      </c>
      <c r="D196" s="79" t="s">
        <v>469</v>
      </c>
      <c r="E196" s="378" t="s">
        <v>470</v>
      </c>
      <c r="F196" s="378"/>
      <c r="G196" s="80">
        <v>101.9</v>
      </c>
      <c r="H196" s="67" t="s">
        <v>4</v>
      </c>
    </row>
    <row r="197" spans="1:8" x14ac:dyDescent="0.25">
      <c r="A197" s="1" t="s">
        <v>4</v>
      </c>
      <c r="B197" s="2" t="s">
        <v>4</v>
      </c>
      <c r="C197" s="2" t="s">
        <v>4</v>
      </c>
      <c r="D197" s="79" t="s">
        <v>471</v>
      </c>
      <c r="E197" s="378" t="s">
        <v>472</v>
      </c>
      <c r="F197" s="378"/>
      <c r="G197" s="80">
        <v>100.7</v>
      </c>
      <c r="H197" s="67" t="s">
        <v>4</v>
      </c>
    </row>
    <row r="198" spans="1:8" x14ac:dyDescent="0.25">
      <c r="A198" s="1" t="s">
        <v>4</v>
      </c>
      <c r="B198" s="2" t="s">
        <v>4</v>
      </c>
      <c r="C198" s="2" t="s">
        <v>4</v>
      </c>
      <c r="D198" s="79" t="s">
        <v>473</v>
      </c>
      <c r="E198" s="378" t="s">
        <v>474</v>
      </c>
      <c r="F198" s="378"/>
      <c r="G198" s="80">
        <v>101.9</v>
      </c>
      <c r="H198" s="67" t="s">
        <v>4</v>
      </c>
    </row>
    <row r="199" spans="1:8" x14ac:dyDescent="0.25">
      <c r="A199" s="1" t="s">
        <v>4</v>
      </c>
      <c r="B199" s="2" t="s">
        <v>4</v>
      </c>
      <c r="C199" s="2" t="s">
        <v>4</v>
      </c>
      <c r="D199" s="79" t="s">
        <v>500</v>
      </c>
      <c r="E199" s="378" t="s">
        <v>4</v>
      </c>
      <c r="F199" s="378"/>
      <c r="G199" s="80">
        <v>4.64255</v>
      </c>
      <c r="H199" s="67" t="s">
        <v>4</v>
      </c>
    </row>
    <row r="200" spans="1:8" x14ac:dyDescent="0.25">
      <c r="A200" s="1" t="s">
        <v>347</v>
      </c>
      <c r="B200" s="2" t="s">
        <v>82</v>
      </c>
      <c r="C200" s="2" t="s">
        <v>348</v>
      </c>
      <c r="D200" s="284" t="s">
        <v>349</v>
      </c>
      <c r="E200" s="284"/>
      <c r="F200" s="2" t="s">
        <v>150</v>
      </c>
      <c r="G200" s="37">
        <v>1.0115000000000001</v>
      </c>
      <c r="H200" s="38">
        <v>0</v>
      </c>
    </row>
    <row r="201" spans="1:8" x14ac:dyDescent="0.25">
      <c r="A201" s="78"/>
      <c r="D201" s="79" t="s">
        <v>147</v>
      </c>
      <c r="E201" s="378" t="s">
        <v>451</v>
      </c>
      <c r="F201" s="378"/>
      <c r="G201" s="80">
        <v>1</v>
      </c>
      <c r="H201" s="81"/>
    </row>
    <row r="202" spans="1:8" x14ac:dyDescent="0.25">
      <c r="A202" s="1" t="s">
        <v>4</v>
      </c>
      <c r="B202" s="2" t="s">
        <v>4</v>
      </c>
      <c r="C202" s="2" t="s">
        <v>4</v>
      </c>
      <c r="D202" s="79" t="s">
        <v>501</v>
      </c>
      <c r="E202" s="378" t="s">
        <v>4</v>
      </c>
      <c r="F202" s="378"/>
      <c r="G202" s="80">
        <v>1.15E-2</v>
      </c>
      <c r="H202" s="67" t="s">
        <v>4</v>
      </c>
    </row>
    <row r="203" spans="1:8" x14ac:dyDescent="0.25">
      <c r="A203" s="1" t="s">
        <v>86</v>
      </c>
      <c r="B203" s="2" t="s">
        <v>82</v>
      </c>
      <c r="C203" s="2" t="s">
        <v>350</v>
      </c>
      <c r="D203" s="284" t="s">
        <v>351</v>
      </c>
      <c r="E203" s="284"/>
      <c r="F203" s="2" t="s">
        <v>62</v>
      </c>
      <c r="G203" s="37">
        <v>7187.701</v>
      </c>
      <c r="H203" s="38">
        <v>0</v>
      </c>
    </row>
    <row r="204" spans="1:8" x14ac:dyDescent="0.25">
      <c r="A204" s="78"/>
      <c r="D204" s="79" t="s">
        <v>502</v>
      </c>
      <c r="E204" s="378" t="s">
        <v>4</v>
      </c>
      <c r="F204" s="378"/>
      <c r="G204" s="80">
        <v>7187.701</v>
      </c>
      <c r="H204" s="81"/>
    </row>
    <row r="205" spans="1:8" x14ac:dyDescent="0.25">
      <c r="A205" s="77" t="s">
        <v>4</v>
      </c>
      <c r="B205" s="62" t="s">
        <v>82</v>
      </c>
      <c r="C205" s="62" t="s">
        <v>102</v>
      </c>
      <c r="D205" s="371" t="s">
        <v>103</v>
      </c>
      <c r="E205" s="371"/>
      <c r="F205" s="62" t="s">
        <v>4</v>
      </c>
      <c r="G205" s="49" t="s">
        <v>4</v>
      </c>
      <c r="H205" s="65" t="s">
        <v>4</v>
      </c>
    </row>
    <row r="206" spans="1:8" x14ac:dyDescent="0.25">
      <c r="A206" s="1" t="s">
        <v>352</v>
      </c>
      <c r="B206" s="2" t="s">
        <v>82</v>
      </c>
      <c r="C206" s="2" t="s">
        <v>353</v>
      </c>
      <c r="D206" s="284" t="s">
        <v>354</v>
      </c>
      <c r="E206" s="284"/>
      <c r="F206" s="2" t="s">
        <v>150</v>
      </c>
      <c r="G206" s="37">
        <v>8.31</v>
      </c>
      <c r="H206" s="38">
        <v>0</v>
      </c>
    </row>
    <row r="207" spans="1:8" x14ac:dyDescent="0.25">
      <c r="A207" s="78"/>
      <c r="D207" s="79" t="s">
        <v>503</v>
      </c>
      <c r="E207" s="378" t="s">
        <v>451</v>
      </c>
      <c r="F207" s="378"/>
      <c r="G207" s="80">
        <v>1.86</v>
      </c>
      <c r="H207" s="81"/>
    </row>
    <row r="208" spans="1:8" x14ac:dyDescent="0.25">
      <c r="A208" s="1" t="s">
        <v>4</v>
      </c>
      <c r="B208" s="2" t="s">
        <v>4</v>
      </c>
      <c r="C208" s="2" t="s">
        <v>4</v>
      </c>
      <c r="D208" s="79" t="s">
        <v>504</v>
      </c>
      <c r="E208" s="378" t="s">
        <v>470</v>
      </c>
      <c r="F208" s="378"/>
      <c r="G208" s="80">
        <v>2.21</v>
      </c>
      <c r="H208" s="67" t="s">
        <v>4</v>
      </c>
    </row>
    <row r="209" spans="1:8" x14ac:dyDescent="0.25">
      <c r="A209" s="1" t="s">
        <v>4</v>
      </c>
      <c r="B209" s="2" t="s">
        <v>4</v>
      </c>
      <c r="C209" s="2" t="s">
        <v>4</v>
      </c>
      <c r="D209" s="79" t="s">
        <v>505</v>
      </c>
      <c r="E209" s="378" t="s">
        <v>472</v>
      </c>
      <c r="F209" s="378"/>
      <c r="G209" s="80">
        <v>2.0099999999999998</v>
      </c>
      <c r="H209" s="67" t="s">
        <v>4</v>
      </c>
    </row>
    <row r="210" spans="1:8" x14ac:dyDescent="0.25">
      <c r="A210" s="1" t="s">
        <v>4</v>
      </c>
      <c r="B210" s="2" t="s">
        <v>4</v>
      </c>
      <c r="C210" s="2" t="s">
        <v>4</v>
      </c>
      <c r="D210" s="79" t="s">
        <v>506</v>
      </c>
      <c r="E210" s="378" t="s">
        <v>474</v>
      </c>
      <c r="F210" s="378"/>
      <c r="G210" s="80">
        <v>2.23</v>
      </c>
      <c r="H210" s="67" t="s">
        <v>4</v>
      </c>
    </row>
    <row r="211" spans="1:8" x14ac:dyDescent="0.25">
      <c r="A211" s="1" t="s">
        <v>88</v>
      </c>
      <c r="B211" s="2" t="s">
        <v>82</v>
      </c>
      <c r="C211" s="2" t="s">
        <v>357</v>
      </c>
      <c r="D211" s="284" t="s">
        <v>358</v>
      </c>
      <c r="E211" s="284"/>
      <c r="F211" s="2" t="s">
        <v>150</v>
      </c>
      <c r="G211" s="37">
        <v>8.31</v>
      </c>
      <c r="H211" s="38">
        <v>0</v>
      </c>
    </row>
    <row r="212" spans="1:8" x14ac:dyDescent="0.25">
      <c r="A212" s="78"/>
      <c r="D212" s="79" t="s">
        <v>503</v>
      </c>
      <c r="E212" s="378" t="s">
        <v>451</v>
      </c>
      <c r="F212" s="378"/>
      <c r="G212" s="80">
        <v>1.86</v>
      </c>
      <c r="H212" s="81"/>
    </row>
    <row r="213" spans="1:8" x14ac:dyDescent="0.25">
      <c r="A213" s="1" t="s">
        <v>4</v>
      </c>
      <c r="B213" s="2" t="s">
        <v>4</v>
      </c>
      <c r="C213" s="2" t="s">
        <v>4</v>
      </c>
      <c r="D213" s="79" t="s">
        <v>504</v>
      </c>
      <c r="E213" s="378" t="s">
        <v>470</v>
      </c>
      <c r="F213" s="378"/>
      <c r="G213" s="80">
        <v>2.21</v>
      </c>
      <c r="H213" s="67" t="s">
        <v>4</v>
      </c>
    </row>
    <row r="214" spans="1:8" x14ac:dyDescent="0.25">
      <c r="A214" s="1" t="s">
        <v>4</v>
      </c>
      <c r="B214" s="2" t="s">
        <v>4</v>
      </c>
      <c r="C214" s="2" t="s">
        <v>4</v>
      </c>
      <c r="D214" s="79" t="s">
        <v>505</v>
      </c>
      <c r="E214" s="378" t="s">
        <v>472</v>
      </c>
      <c r="F214" s="378"/>
      <c r="G214" s="80">
        <v>2.0099999999999998</v>
      </c>
      <c r="H214" s="67" t="s">
        <v>4</v>
      </c>
    </row>
    <row r="215" spans="1:8" x14ac:dyDescent="0.25">
      <c r="A215" s="1" t="s">
        <v>4</v>
      </c>
      <c r="B215" s="2" t="s">
        <v>4</v>
      </c>
      <c r="C215" s="2" t="s">
        <v>4</v>
      </c>
      <c r="D215" s="79" t="s">
        <v>506</v>
      </c>
      <c r="E215" s="378" t="s">
        <v>474</v>
      </c>
      <c r="F215" s="378"/>
      <c r="G215" s="80">
        <v>2.23</v>
      </c>
      <c r="H215" s="67" t="s">
        <v>4</v>
      </c>
    </row>
    <row r="216" spans="1:8" x14ac:dyDescent="0.25">
      <c r="A216" s="1" t="s">
        <v>359</v>
      </c>
      <c r="B216" s="2" t="s">
        <v>82</v>
      </c>
      <c r="C216" s="2" t="s">
        <v>360</v>
      </c>
      <c r="D216" s="284" t="s">
        <v>361</v>
      </c>
      <c r="E216" s="284"/>
      <c r="F216" s="2" t="s">
        <v>150</v>
      </c>
      <c r="G216" s="37">
        <v>82.0505</v>
      </c>
      <c r="H216" s="38">
        <v>0</v>
      </c>
    </row>
    <row r="217" spans="1:8" x14ac:dyDescent="0.25">
      <c r="A217" s="78"/>
      <c r="D217" s="79" t="s">
        <v>507</v>
      </c>
      <c r="E217" s="378" t="s">
        <v>451</v>
      </c>
      <c r="F217" s="378"/>
      <c r="G217" s="80">
        <v>18.321000000000002</v>
      </c>
      <c r="H217" s="81"/>
    </row>
    <row r="218" spans="1:8" x14ac:dyDescent="0.25">
      <c r="A218" s="1" t="s">
        <v>4</v>
      </c>
      <c r="B218" s="2" t="s">
        <v>4</v>
      </c>
      <c r="C218" s="2" t="s">
        <v>4</v>
      </c>
      <c r="D218" s="79" t="s">
        <v>508</v>
      </c>
      <c r="E218" s="378" t="s">
        <v>470</v>
      </c>
      <c r="F218" s="378"/>
      <c r="G218" s="80">
        <v>21.7685</v>
      </c>
      <c r="H218" s="67" t="s">
        <v>4</v>
      </c>
    </row>
    <row r="219" spans="1:8" x14ac:dyDescent="0.25">
      <c r="A219" s="1" t="s">
        <v>4</v>
      </c>
      <c r="B219" s="2" t="s">
        <v>4</v>
      </c>
      <c r="C219" s="2" t="s">
        <v>4</v>
      </c>
      <c r="D219" s="79" t="s">
        <v>509</v>
      </c>
      <c r="E219" s="378" t="s">
        <v>472</v>
      </c>
      <c r="F219" s="378"/>
      <c r="G219" s="80">
        <v>19.798500000000001</v>
      </c>
      <c r="H219" s="67" t="s">
        <v>4</v>
      </c>
    </row>
    <row r="220" spans="1:8" x14ac:dyDescent="0.25">
      <c r="A220" s="1" t="s">
        <v>4</v>
      </c>
      <c r="B220" s="2" t="s">
        <v>4</v>
      </c>
      <c r="C220" s="2" t="s">
        <v>4</v>
      </c>
      <c r="D220" s="79" t="s">
        <v>510</v>
      </c>
      <c r="E220" s="378" t="s">
        <v>474</v>
      </c>
      <c r="F220" s="378"/>
      <c r="G220" s="80">
        <v>22.162500000000001</v>
      </c>
      <c r="H220" s="67" t="s">
        <v>4</v>
      </c>
    </row>
    <row r="221" spans="1:8" x14ac:dyDescent="0.25">
      <c r="A221" s="1" t="s">
        <v>362</v>
      </c>
      <c r="B221" s="2" t="s">
        <v>82</v>
      </c>
      <c r="C221" s="2" t="s">
        <v>363</v>
      </c>
      <c r="D221" s="284" t="s">
        <v>364</v>
      </c>
      <c r="E221" s="284"/>
      <c r="F221" s="2" t="s">
        <v>150</v>
      </c>
      <c r="G221" s="37">
        <v>82.0505</v>
      </c>
      <c r="H221" s="38">
        <v>0</v>
      </c>
    </row>
    <row r="222" spans="1:8" x14ac:dyDescent="0.25">
      <c r="A222" s="78"/>
      <c r="D222" s="79" t="s">
        <v>507</v>
      </c>
      <c r="E222" s="378" t="s">
        <v>451</v>
      </c>
      <c r="F222" s="378"/>
      <c r="G222" s="80">
        <v>18.321000000000002</v>
      </c>
      <c r="H222" s="81"/>
    </row>
    <row r="223" spans="1:8" x14ac:dyDescent="0.25">
      <c r="A223" s="1" t="s">
        <v>4</v>
      </c>
      <c r="B223" s="2" t="s">
        <v>4</v>
      </c>
      <c r="C223" s="2" t="s">
        <v>4</v>
      </c>
      <c r="D223" s="79" t="s">
        <v>508</v>
      </c>
      <c r="E223" s="378" t="s">
        <v>470</v>
      </c>
      <c r="F223" s="378"/>
      <c r="G223" s="80">
        <v>21.7685</v>
      </c>
      <c r="H223" s="67" t="s">
        <v>4</v>
      </c>
    </row>
    <row r="224" spans="1:8" x14ac:dyDescent="0.25">
      <c r="A224" s="1" t="s">
        <v>4</v>
      </c>
      <c r="B224" s="2" t="s">
        <v>4</v>
      </c>
      <c r="C224" s="2" t="s">
        <v>4</v>
      </c>
      <c r="D224" s="79" t="s">
        <v>509</v>
      </c>
      <c r="E224" s="378" t="s">
        <v>472</v>
      </c>
      <c r="F224" s="378"/>
      <c r="G224" s="80">
        <v>19.798500000000001</v>
      </c>
      <c r="H224" s="67" t="s">
        <v>4</v>
      </c>
    </row>
    <row r="225" spans="1:8" x14ac:dyDescent="0.25">
      <c r="A225" s="1" t="s">
        <v>4</v>
      </c>
      <c r="B225" s="2" t="s">
        <v>4</v>
      </c>
      <c r="C225" s="2" t="s">
        <v>4</v>
      </c>
      <c r="D225" s="79" t="s">
        <v>510</v>
      </c>
      <c r="E225" s="378" t="s">
        <v>474</v>
      </c>
      <c r="F225" s="378"/>
      <c r="G225" s="80">
        <v>22.162500000000001</v>
      </c>
      <c r="H225" s="67" t="s">
        <v>4</v>
      </c>
    </row>
    <row r="226" spans="1:8" x14ac:dyDescent="0.25">
      <c r="A226" s="1" t="s">
        <v>365</v>
      </c>
      <c r="B226" s="2" t="s">
        <v>82</v>
      </c>
      <c r="C226" s="2" t="s">
        <v>366</v>
      </c>
      <c r="D226" s="284" t="s">
        <v>367</v>
      </c>
      <c r="E226" s="284"/>
      <c r="F226" s="2" t="s">
        <v>203</v>
      </c>
      <c r="G226" s="37">
        <v>30</v>
      </c>
      <c r="H226" s="38">
        <v>0</v>
      </c>
    </row>
    <row r="227" spans="1:8" x14ac:dyDescent="0.25">
      <c r="A227" s="78"/>
      <c r="D227" s="79" t="s">
        <v>251</v>
      </c>
      <c r="E227" s="378" t="s">
        <v>4</v>
      </c>
      <c r="F227" s="378"/>
      <c r="G227" s="80">
        <v>30</v>
      </c>
      <c r="H227" s="81"/>
    </row>
    <row r="228" spans="1:8" x14ac:dyDescent="0.25">
      <c r="A228" s="1" t="s">
        <v>368</v>
      </c>
      <c r="B228" s="2" t="s">
        <v>82</v>
      </c>
      <c r="C228" s="2" t="s">
        <v>369</v>
      </c>
      <c r="D228" s="284" t="s">
        <v>370</v>
      </c>
      <c r="E228" s="284"/>
      <c r="F228" s="2" t="s">
        <v>150</v>
      </c>
      <c r="G228" s="37">
        <v>1.5</v>
      </c>
      <c r="H228" s="38">
        <v>0</v>
      </c>
    </row>
    <row r="229" spans="1:8" x14ac:dyDescent="0.25">
      <c r="A229" s="78"/>
      <c r="D229" s="79" t="s">
        <v>511</v>
      </c>
      <c r="E229" s="378" t="s">
        <v>4</v>
      </c>
      <c r="F229" s="378"/>
      <c r="G229" s="80">
        <v>1.5</v>
      </c>
      <c r="H229" s="81"/>
    </row>
    <row r="230" spans="1:8" x14ac:dyDescent="0.25">
      <c r="A230" s="77" t="s">
        <v>4</v>
      </c>
      <c r="B230" s="62" t="s">
        <v>82</v>
      </c>
      <c r="C230" s="62" t="s">
        <v>104</v>
      </c>
      <c r="D230" s="371" t="s">
        <v>105</v>
      </c>
      <c r="E230" s="371"/>
      <c r="F230" s="62" t="s">
        <v>4</v>
      </c>
      <c r="G230" s="49" t="s">
        <v>4</v>
      </c>
      <c r="H230" s="65" t="s">
        <v>4</v>
      </c>
    </row>
    <row r="231" spans="1:8" x14ac:dyDescent="0.25">
      <c r="A231" s="1" t="s">
        <v>371</v>
      </c>
      <c r="B231" s="2" t="s">
        <v>82</v>
      </c>
      <c r="C231" s="2" t="s">
        <v>372</v>
      </c>
      <c r="D231" s="284" t="s">
        <v>373</v>
      </c>
      <c r="E231" s="284"/>
      <c r="F231" s="2" t="s">
        <v>150</v>
      </c>
      <c r="G231" s="37">
        <v>404.7</v>
      </c>
      <c r="H231" s="38">
        <v>0</v>
      </c>
    </row>
    <row r="232" spans="1:8" x14ac:dyDescent="0.25">
      <c r="A232" s="78"/>
      <c r="D232" s="79" t="s">
        <v>479</v>
      </c>
      <c r="E232" s="378" t="s">
        <v>451</v>
      </c>
      <c r="F232" s="378"/>
      <c r="G232" s="80">
        <v>100.2</v>
      </c>
      <c r="H232" s="81"/>
    </row>
    <row r="233" spans="1:8" x14ac:dyDescent="0.25">
      <c r="A233" s="1" t="s">
        <v>4</v>
      </c>
      <c r="B233" s="2" t="s">
        <v>4</v>
      </c>
      <c r="C233" s="2" t="s">
        <v>4</v>
      </c>
      <c r="D233" s="79" t="s">
        <v>469</v>
      </c>
      <c r="E233" s="378" t="s">
        <v>470</v>
      </c>
      <c r="F233" s="378"/>
      <c r="G233" s="80">
        <v>101.9</v>
      </c>
      <c r="H233" s="67" t="s">
        <v>4</v>
      </c>
    </row>
    <row r="234" spans="1:8" x14ac:dyDescent="0.25">
      <c r="A234" s="1" t="s">
        <v>4</v>
      </c>
      <c r="B234" s="2" t="s">
        <v>4</v>
      </c>
      <c r="C234" s="2" t="s">
        <v>4</v>
      </c>
      <c r="D234" s="79" t="s">
        <v>471</v>
      </c>
      <c r="E234" s="378" t="s">
        <v>472</v>
      </c>
      <c r="F234" s="378"/>
      <c r="G234" s="80">
        <v>100.7</v>
      </c>
      <c r="H234" s="67" t="s">
        <v>4</v>
      </c>
    </row>
    <row r="235" spans="1:8" x14ac:dyDescent="0.25">
      <c r="A235" s="1" t="s">
        <v>4</v>
      </c>
      <c r="B235" s="2" t="s">
        <v>4</v>
      </c>
      <c r="C235" s="2" t="s">
        <v>4</v>
      </c>
      <c r="D235" s="79" t="s">
        <v>473</v>
      </c>
      <c r="E235" s="378" t="s">
        <v>474</v>
      </c>
      <c r="F235" s="378"/>
      <c r="G235" s="80">
        <v>101.9</v>
      </c>
      <c r="H235" s="67" t="s">
        <v>4</v>
      </c>
    </row>
    <row r="236" spans="1:8" x14ac:dyDescent="0.25">
      <c r="A236" s="1" t="s">
        <v>375</v>
      </c>
      <c r="B236" s="2" t="s">
        <v>82</v>
      </c>
      <c r="C236" s="2" t="s">
        <v>376</v>
      </c>
      <c r="D236" s="284" t="s">
        <v>377</v>
      </c>
      <c r="E236" s="284"/>
      <c r="F236" s="2" t="s">
        <v>150</v>
      </c>
      <c r="G236" s="37">
        <v>17</v>
      </c>
      <c r="H236" s="38">
        <v>0</v>
      </c>
    </row>
    <row r="237" spans="1:8" x14ac:dyDescent="0.25">
      <c r="A237" s="78"/>
      <c r="D237" s="79" t="s">
        <v>210</v>
      </c>
      <c r="E237" s="378" t="s">
        <v>451</v>
      </c>
      <c r="F237" s="378"/>
      <c r="G237" s="80">
        <v>17</v>
      </c>
      <c r="H237" s="81"/>
    </row>
    <row r="238" spans="1:8" x14ac:dyDescent="0.25">
      <c r="A238" s="1" t="s">
        <v>378</v>
      </c>
      <c r="B238" s="2" t="s">
        <v>82</v>
      </c>
      <c r="C238" s="2" t="s">
        <v>379</v>
      </c>
      <c r="D238" s="284" t="s">
        <v>380</v>
      </c>
      <c r="E238" s="284"/>
      <c r="F238" s="2" t="s">
        <v>150</v>
      </c>
      <c r="G238" s="37">
        <v>17</v>
      </c>
      <c r="H238" s="38">
        <v>0</v>
      </c>
    </row>
    <row r="239" spans="1:8" x14ac:dyDescent="0.25">
      <c r="A239" s="78"/>
      <c r="D239" s="79" t="s">
        <v>210</v>
      </c>
      <c r="E239" s="378" t="s">
        <v>451</v>
      </c>
      <c r="F239" s="378"/>
      <c r="G239" s="80">
        <v>17</v>
      </c>
      <c r="H239" s="81"/>
    </row>
    <row r="240" spans="1:8" x14ac:dyDescent="0.25">
      <c r="A240" s="1" t="s">
        <v>381</v>
      </c>
      <c r="B240" s="2" t="s">
        <v>82</v>
      </c>
      <c r="C240" s="2" t="s">
        <v>382</v>
      </c>
      <c r="D240" s="284" t="s">
        <v>383</v>
      </c>
      <c r="E240" s="284"/>
      <c r="F240" s="2" t="s">
        <v>150</v>
      </c>
      <c r="G240" s="37">
        <v>170.81100000000001</v>
      </c>
      <c r="H240" s="38">
        <v>0</v>
      </c>
    </row>
    <row r="241" spans="1:8" x14ac:dyDescent="0.25">
      <c r="A241" s="78"/>
      <c r="D241" s="79" t="s">
        <v>512</v>
      </c>
      <c r="E241" s="378" t="s">
        <v>453</v>
      </c>
      <c r="F241" s="378"/>
      <c r="G241" s="80">
        <v>100.6815</v>
      </c>
      <c r="H241" s="81"/>
    </row>
    <row r="242" spans="1:8" x14ac:dyDescent="0.25">
      <c r="A242" s="1" t="s">
        <v>4</v>
      </c>
      <c r="B242" s="2" t="s">
        <v>4</v>
      </c>
      <c r="C242" s="2" t="s">
        <v>4</v>
      </c>
      <c r="D242" s="79" t="s">
        <v>513</v>
      </c>
      <c r="E242" s="378" t="s">
        <v>455</v>
      </c>
      <c r="F242" s="378"/>
      <c r="G242" s="80">
        <v>70.129499999999993</v>
      </c>
      <c r="H242" s="67" t="s">
        <v>4</v>
      </c>
    </row>
    <row r="243" spans="1:8" x14ac:dyDescent="0.25">
      <c r="A243" s="1" t="s">
        <v>384</v>
      </c>
      <c r="B243" s="2" t="s">
        <v>82</v>
      </c>
      <c r="C243" s="2" t="s">
        <v>385</v>
      </c>
      <c r="D243" s="284" t="s">
        <v>386</v>
      </c>
      <c r="E243" s="284"/>
      <c r="F243" s="2" t="s">
        <v>150</v>
      </c>
      <c r="G243" s="37">
        <v>271.01100000000002</v>
      </c>
      <c r="H243" s="38">
        <v>0</v>
      </c>
    </row>
    <row r="244" spans="1:8" x14ac:dyDescent="0.25">
      <c r="A244" s="78"/>
      <c r="D244" s="79" t="s">
        <v>512</v>
      </c>
      <c r="E244" s="378" t="s">
        <v>453</v>
      </c>
      <c r="F244" s="378"/>
      <c r="G244" s="80">
        <v>100.6815</v>
      </c>
      <c r="H244" s="81"/>
    </row>
    <row r="245" spans="1:8" x14ac:dyDescent="0.25">
      <c r="A245" s="1" t="s">
        <v>4</v>
      </c>
      <c r="B245" s="2" t="s">
        <v>4</v>
      </c>
      <c r="C245" s="2" t="s">
        <v>4</v>
      </c>
      <c r="D245" s="79" t="s">
        <v>513</v>
      </c>
      <c r="E245" s="378" t="s">
        <v>455</v>
      </c>
      <c r="F245" s="378"/>
      <c r="G245" s="80">
        <v>70.129499999999993</v>
      </c>
      <c r="H245" s="67" t="s">
        <v>4</v>
      </c>
    </row>
    <row r="246" spans="1:8" x14ac:dyDescent="0.25">
      <c r="A246" s="1" t="s">
        <v>4</v>
      </c>
      <c r="B246" s="2" t="s">
        <v>4</v>
      </c>
      <c r="C246" s="2" t="s">
        <v>4</v>
      </c>
      <c r="D246" s="79" t="s">
        <v>468</v>
      </c>
      <c r="E246" s="378" t="s">
        <v>451</v>
      </c>
      <c r="F246" s="378"/>
      <c r="G246" s="80">
        <v>100.2</v>
      </c>
      <c r="H246" s="67" t="s">
        <v>4</v>
      </c>
    </row>
    <row r="247" spans="1:8" x14ac:dyDescent="0.25">
      <c r="A247" s="1" t="s">
        <v>387</v>
      </c>
      <c r="B247" s="2" t="s">
        <v>82</v>
      </c>
      <c r="C247" s="2" t="s">
        <v>388</v>
      </c>
      <c r="D247" s="284" t="s">
        <v>389</v>
      </c>
      <c r="E247" s="284"/>
      <c r="F247" s="2" t="s">
        <v>150</v>
      </c>
      <c r="G247" s="37">
        <v>271.01100000000002</v>
      </c>
      <c r="H247" s="38">
        <v>0</v>
      </c>
    </row>
    <row r="248" spans="1:8" x14ac:dyDescent="0.25">
      <c r="A248" s="78"/>
      <c r="D248" s="79" t="s">
        <v>512</v>
      </c>
      <c r="E248" s="378" t="s">
        <v>453</v>
      </c>
      <c r="F248" s="378"/>
      <c r="G248" s="80">
        <v>100.6815</v>
      </c>
      <c r="H248" s="81"/>
    </row>
    <row r="249" spans="1:8" x14ac:dyDescent="0.25">
      <c r="A249" s="1" t="s">
        <v>4</v>
      </c>
      <c r="B249" s="2" t="s">
        <v>4</v>
      </c>
      <c r="C249" s="2" t="s">
        <v>4</v>
      </c>
      <c r="D249" s="79" t="s">
        <v>513</v>
      </c>
      <c r="E249" s="378" t="s">
        <v>455</v>
      </c>
      <c r="F249" s="378"/>
      <c r="G249" s="80">
        <v>70.129499999999993</v>
      </c>
      <c r="H249" s="67" t="s">
        <v>4</v>
      </c>
    </row>
    <row r="250" spans="1:8" x14ac:dyDescent="0.25">
      <c r="A250" s="1" t="s">
        <v>4</v>
      </c>
      <c r="B250" s="2" t="s">
        <v>4</v>
      </c>
      <c r="C250" s="2" t="s">
        <v>4</v>
      </c>
      <c r="D250" s="79" t="s">
        <v>468</v>
      </c>
      <c r="E250" s="378" t="s">
        <v>451</v>
      </c>
      <c r="F250" s="378"/>
      <c r="G250" s="80">
        <v>100.2</v>
      </c>
      <c r="H250" s="67" t="s">
        <v>4</v>
      </c>
    </row>
    <row r="251" spans="1:8" x14ac:dyDescent="0.25">
      <c r="A251" s="77" t="s">
        <v>4</v>
      </c>
      <c r="B251" s="62" t="s">
        <v>82</v>
      </c>
      <c r="C251" s="62" t="s">
        <v>106</v>
      </c>
      <c r="D251" s="371" t="s">
        <v>107</v>
      </c>
      <c r="E251" s="371"/>
      <c r="F251" s="62" t="s">
        <v>4</v>
      </c>
      <c r="G251" s="49" t="s">
        <v>4</v>
      </c>
      <c r="H251" s="65" t="s">
        <v>4</v>
      </c>
    </row>
    <row r="252" spans="1:8" x14ac:dyDescent="0.25">
      <c r="A252" s="1" t="s">
        <v>390</v>
      </c>
      <c r="B252" s="2" t="s">
        <v>82</v>
      </c>
      <c r="C252" s="2" t="s">
        <v>391</v>
      </c>
      <c r="D252" s="284" t="s">
        <v>392</v>
      </c>
      <c r="E252" s="284"/>
      <c r="F252" s="2" t="s">
        <v>150</v>
      </c>
      <c r="G252" s="37">
        <v>404.7</v>
      </c>
      <c r="H252" s="38">
        <v>0</v>
      </c>
    </row>
    <row r="253" spans="1:8" x14ac:dyDescent="0.25">
      <c r="A253" s="78"/>
      <c r="D253" s="79" t="s">
        <v>479</v>
      </c>
      <c r="E253" s="378" t="s">
        <v>451</v>
      </c>
      <c r="F253" s="378"/>
      <c r="G253" s="80">
        <v>100.2</v>
      </c>
      <c r="H253" s="81"/>
    </row>
    <row r="254" spans="1:8" x14ac:dyDescent="0.25">
      <c r="A254" s="1" t="s">
        <v>4</v>
      </c>
      <c r="B254" s="2" t="s">
        <v>4</v>
      </c>
      <c r="C254" s="2" t="s">
        <v>4</v>
      </c>
      <c r="D254" s="79" t="s">
        <v>469</v>
      </c>
      <c r="E254" s="378" t="s">
        <v>470</v>
      </c>
      <c r="F254" s="378"/>
      <c r="G254" s="80">
        <v>101.9</v>
      </c>
      <c r="H254" s="67" t="s">
        <v>4</v>
      </c>
    </row>
    <row r="255" spans="1:8" x14ac:dyDescent="0.25">
      <c r="A255" s="1" t="s">
        <v>4</v>
      </c>
      <c r="B255" s="2" t="s">
        <v>4</v>
      </c>
      <c r="C255" s="2" t="s">
        <v>4</v>
      </c>
      <c r="D255" s="79" t="s">
        <v>471</v>
      </c>
      <c r="E255" s="378" t="s">
        <v>472</v>
      </c>
      <c r="F255" s="378"/>
      <c r="G255" s="80">
        <v>100.7</v>
      </c>
      <c r="H255" s="67" t="s">
        <v>4</v>
      </c>
    </row>
    <row r="256" spans="1:8" x14ac:dyDescent="0.25">
      <c r="A256" s="1" t="s">
        <v>4</v>
      </c>
      <c r="B256" s="2" t="s">
        <v>4</v>
      </c>
      <c r="C256" s="2" t="s">
        <v>4</v>
      </c>
      <c r="D256" s="79" t="s">
        <v>473</v>
      </c>
      <c r="E256" s="378" t="s">
        <v>474</v>
      </c>
      <c r="F256" s="378"/>
      <c r="G256" s="80">
        <v>101.9</v>
      </c>
      <c r="H256" s="67" t="s">
        <v>4</v>
      </c>
    </row>
    <row r="257" spans="1:8" x14ac:dyDescent="0.25">
      <c r="A257" s="77" t="s">
        <v>4</v>
      </c>
      <c r="B257" s="62" t="s">
        <v>82</v>
      </c>
      <c r="C257" s="62" t="s">
        <v>108</v>
      </c>
      <c r="D257" s="371" t="s">
        <v>109</v>
      </c>
      <c r="E257" s="371"/>
      <c r="F257" s="62" t="s">
        <v>4</v>
      </c>
      <c r="G257" s="49" t="s">
        <v>4</v>
      </c>
      <c r="H257" s="65" t="s">
        <v>4</v>
      </c>
    </row>
    <row r="258" spans="1:8" x14ac:dyDescent="0.25">
      <c r="A258" s="1" t="s">
        <v>395</v>
      </c>
      <c r="B258" s="2" t="s">
        <v>82</v>
      </c>
      <c r="C258" s="2" t="s">
        <v>396</v>
      </c>
      <c r="D258" s="284" t="s">
        <v>397</v>
      </c>
      <c r="E258" s="284"/>
      <c r="F258" s="2" t="s">
        <v>203</v>
      </c>
      <c r="G258" s="37">
        <v>10.5</v>
      </c>
      <c r="H258" s="38">
        <v>0</v>
      </c>
    </row>
    <row r="259" spans="1:8" x14ac:dyDescent="0.25">
      <c r="A259" s="78"/>
      <c r="D259" s="79" t="s">
        <v>514</v>
      </c>
      <c r="E259" s="378" t="s">
        <v>470</v>
      </c>
      <c r="F259" s="378"/>
      <c r="G259" s="80">
        <v>3.5</v>
      </c>
      <c r="H259" s="81"/>
    </row>
    <row r="260" spans="1:8" x14ac:dyDescent="0.25">
      <c r="A260" s="1" t="s">
        <v>4</v>
      </c>
      <c r="B260" s="2" t="s">
        <v>4</v>
      </c>
      <c r="C260" s="2" t="s">
        <v>4</v>
      </c>
      <c r="D260" s="79" t="s">
        <v>514</v>
      </c>
      <c r="E260" s="378" t="s">
        <v>472</v>
      </c>
      <c r="F260" s="378"/>
      <c r="G260" s="80">
        <v>3.5</v>
      </c>
      <c r="H260" s="67" t="s">
        <v>4</v>
      </c>
    </row>
    <row r="261" spans="1:8" x14ac:dyDescent="0.25">
      <c r="A261" s="1" t="s">
        <v>4</v>
      </c>
      <c r="B261" s="2" t="s">
        <v>4</v>
      </c>
      <c r="C261" s="2" t="s">
        <v>4</v>
      </c>
      <c r="D261" s="79" t="s">
        <v>514</v>
      </c>
      <c r="E261" s="378" t="s">
        <v>474</v>
      </c>
      <c r="F261" s="378"/>
      <c r="G261" s="80">
        <v>3.5</v>
      </c>
      <c r="H261" s="67" t="s">
        <v>4</v>
      </c>
    </row>
    <row r="262" spans="1:8" x14ac:dyDescent="0.25">
      <c r="A262" s="1" t="s">
        <v>399</v>
      </c>
      <c r="B262" s="2" t="s">
        <v>82</v>
      </c>
      <c r="C262" s="2" t="s">
        <v>400</v>
      </c>
      <c r="D262" s="284" t="s">
        <v>401</v>
      </c>
      <c r="E262" s="284"/>
      <c r="F262" s="2" t="s">
        <v>402</v>
      </c>
      <c r="G262" s="37">
        <v>1</v>
      </c>
      <c r="H262" s="38">
        <v>0</v>
      </c>
    </row>
    <row r="263" spans="1:8" x14ac:dyDescent="0.25">
      <c r="A263" s="78"/>
      <c r="D263" s="79" t="s">
        <v>147</v>
      </c>
      <c r="E263" s="378" t="s">
        <v>4</v>
      </c>
      <c r="F263" s="378"/>
      <c r="G263" s="80">
        <v>1</v>
      </c>
      <c r="H263" s="81"/>
    </row>
    <row r="264" spans="1:8" x14ac:dyDescent="0.25">
      <c r="A264" s="1" t="s">
        <v>403</v>
      </c>
      <c r="B264" s="2" t="s">
        <v>82</v>
      </c>
      <c r="C264" s="2" t="s">
        <v>171</v>
      </c>
      <c r="D264" s="284" t="s">
        <v>172</v>
      </c>
      <c r="E264" s="284"/>
      <c r="F264" s="2" t="s">
        <v>173</v>
      </c>
      <c r="G264" s="37">
        <v>1.14761</v>
      </c>
      <c r="H264" s="38">
        <v>0</v>
      </c>
    </row>
    <row r="265" spans="1:8" x14ac:dyDescent="0.25">
      <c r="A265" s="77" t="s">
        <v>4</v>
      </c>
      <c r="B265" s="62" t="s">
        <v>82</v>
      </c>
      <c r="C265" s="62" t="s">
        <v>110</v>
      </c>
      <c r="D265" s="371" t="s">
        <v>111</v>
      </c>
      <c r="E265" s="371"/>
      <c r="F265" s="62" t="s">
        <v>4</v>
      </c>
      <c r="G265" s="49" t="s">
        <v>4</v>
      </c>
      <c r="H265" s="65" t="s">
        <v>4</v>
      </c>
    </row>
    <row r="266" spans="1:8" x14ac:dyDescent="0.25">
      <c r="A266" s="1" t="s">
        <v>404</v>
      </c>
      <c r="B266" s="2" t="s">
        <v>82</v>
      </c>
      <c r="C266" s="2" t="s">
        <v>405</v>
      </c>
      <c r="D266" s="284" t="s">
        <v>406</v>
      </c>
      <c r="E266" s="284"/>
      <c r="F266" s="2" t="s">
        <v>191</v>
      </c>
      <c r="G266" s="37">
        <v>45</v>
      </c>
      <c r="H266" s="38">
        <v>0</v>
      </c>
    </row>
    <row r="267" spans="1:8" x14ac:dyDescent="0.25">
      <c r="A267" s="78"/>
      <c r="D267" s="79" t="s">
        <v>185</v>
      </c>
      <c r="E267" s="378" t="s">
        <v>451</v>
      </c>
      <c r="F267" s="378"/>
      <c r="G267" s="80">
        <v>10</v>
      </c>
      <c r="H267" s="81"/>
    </row>
    <row r="268" spans="1:8" x14ac:dyDescent="0.25">
      <c r="A268" s="1" t="s">
        <v>4</v>
      </c>
      <c r="B268" s="2" t="s">
        <v>4</v>
      </c>
      <c r="C268" s="2" t="s">
        <v>4</v>
      </c>
      <c r="D268" s="79" t="s">
        <v>194</v>
      </c>
      <c r="E268" s="378" t="s">
        <v>470</v>
      </c>
      <c r="F268" s="378"/>
      <c r="G268" s="80">
        <v>12</v>
      </c>
      <c r="H268" s="67" t="s">
        <v>4</v>
      </c>
    </row>
    <row r="269" spans="1:8" x14ac:dyDescent="0.25">
      <c r="A269" s="1" t="s">
        <v>4</v>
      </c>
      <c r="B269" s="2" t="s">
        <v>4</v>
      </c>
      <c r="C269" s="2" t="s">
        <v>4</v>
      </c>
      <c r="D269" s="79" t="s">
        <v>188</v>
      </c>
      <c r="E269" s="378" t="s">
        <v>472</v>
      </c>
      <c r="F269" s="378"/>
      <c r="G269" s="80">
        <v>11</v>
      </c>
      <c r="H269" s="67" t="s">
        <v>4</v>
      </c>
    </row>
    <row r="270" spans="1:8" x14ac:dyDescent="0.25">
      <c r="A270" s="1" t="s">
        <v>4</v>
      </c>
      <c r="B270" s="2" t="s">
        <v>4</v>
      </c>
      <c r="C270" s="2" t="s">
        <v>4</v>
      </c>
      <c r="D270" s="79" t="s">
        <v>194</v>
      </c>
      <c r="E270" s="378" t="s">
        <v>474</v>
      </c>
      <c r="F270" s="378"/>
      <c r="G270" s="80">
        <v>12</v>
      </c>
      <c r="H270" s="67" t="s">
        <v>4</v>
      </c>
    </row>
    <row r="271" spans="1:8" x14ac:dyDescent="0.25">
      <c r="A271" s="1" t="s">
        <v>408</v>
      </c>
      <c r="B271" s="2" t="s">
        <v>82</v>
      </c>
      <c r="C271" s="2" t="s">
        <v>409</v>
      </c>
      <c r="D271" s="284" t="s">
        <v>410</v>
      </c>
      <c r="E271" s="284"/>
      <c r="F271" s="2" t="s">
        <v>191</v>
      </c>
      <c r="G271" s="37">
        <v>10</v>
      </c>
      <c r="H271" s="38">
        <v>0</v>
      </c>
    </row>
    <row r="272" spans="1:8" x14ac:dyDescent="0.25">
      <c r="A272" s="78"/>
      <c r="D272" s="79" t="s">
        <v>185</v>
      </c>
      <c r="E272" s="378" t="s">
        <v>451</v>
      </c>
      <c r="F272" s="378"/>
      <c r="G272" s="80">
        <v>10</v>
      </c>
      <c r="H272" s="81"/>
    </row>
    <row r="273" spans="1:8" x14ac:dyDescent="0.25">
      <c r="A273" s="1" t="s">
        <v>411</v>
      </c>
      <c r="B273" s="2" t="s">
        <v>82</v>
      </c>
      <c r="C273" s="2" t="s">
        <v>412</v>
      </c>
      <c r="D273" s="284" t="s">
        <v>413</v>
      </c>
      <c r="E273" s="284"/>
      <c r="F273" s="2" t="s">
        <v>150</v>
      </c>
      <c r="G273" s="37">
        <v>404.7</v>
      </c>
      <c r="H273" s="38">
        <v>0</v>
      </c>
    </row>
    <row r="274" spans="1:8" x14ac:dyDescent="0.25">
      <c r="A274" s="78"/>
      <c r="D274" s="79" t="s">
        <v>479</v>
      </c>
      <c r="E274" s="378" t="s">
        <v>451</v>
      </c>
      <c r="F274" s="378"/>
      <c r="G274" s="80">
        <v>100.2</v>
      </c>
      <c r="H274" s="81"/>
    </row>
    <row r="275" spans="1:8" x14ac:dyDescent="0.25">
      <c r="A275" s="1" t="s">
        <v>4</v>
      </c>
      <c r="B275" s="2" t="s">
        <v>4</v>
      </c>
      <c r="C275" s="2" t="s">
        <v>4</v>
      </c>
      <c r="D275" s="79" t="s">
        <v>469</v>
      </c>
      <c r="E275" s="378" t="s">
        <v>470</v>
      </c>
      <c r="F275" s="378"/>
      <c r="G275" s="80">
        <v>101.9</v>
      </c>
      <c r="H275" s="67" t="s">
        <v>4</v>
      </c>
    </row>
    <row r="276" spans="1:8" x14ac:dyDescent="0.25">
      <c r="A276" s="1" t="s">
        <v>4</v>
      </c>
      <c r="B276" s="2" t="s">
        <v>4</v>
      </c>
      <c r="C276" s="2" t="s">
        <v>4</v>
      </c>
      <c r="D276" s="79" t="s">
        <v>471</v>
      </c>
      <c r="E276" s="378" t="s">
        <v>472</v>
      </c>
      <c r="F276" s="378"/>
      <c r="G276" s="80">
        <v>100.7</v>
      </c>
      <c r="H276" s="67" t="s">
        <v>4</v>
      </c>
    </row>
    <row r="277" spans="1:8" x14ac:dyDescent="0.25">
      <c r="A277" s="1" t="s">
        <v>4</v>
      </c>
      <c r="B277" s="2" t="s">
        <v>4</v>
      </c>
      <c r="C277" s="2" t="s">
        <v>4</v>
      </c>
      <c r="D277" s="79" t="s">
        <v>473</v>
      </c>
      <c r="E277" s="378" t="s">
        <v>474</v>
      </c>
      <c r="F277" s="378"/>
      <c r="G277" s="80">
        <v>101.9</v>
      </c>
      <c r="H277" s="67" t="s">
        <v>4</v>
      </c>
    </row>
    <row r="278" spans="1:8" x14ac:dyDescent="0.25">
      <c r="A278" s="1" t="s">
        <v>414</v>
      </c>
      <c r="B278" s="2" t="s">
        <v>82</v>
      </c>
      <c r="C278" s="2" t="s">
        <v>415</v>
      </c>
      <c r="D278" s="284" t="s">
        <v>416</v>
      </c>
      <c r="E278" s="284"/>
      <c r="F278" s="2" t="s">
        <v>417</v>
      </c>
      <c r="G278" s="37">
        <v>26.305499999999999</v>
      </c>
      <c r="H278" s="38">
        <v>0</v>
      </c>
    </row>
    <row r="279" spans="1:8" x14ac:dyDescent="0.25">
      <c r="A279" s="78"/>
      <c r="D279" s="79" t="s">
        <v>515</v>
      </c>
      <c r="E279" s="378" t="s">
        <v>451</v>
      </c>
      <c r="F279" s="378"/>
      <c r="G279" s="80">
        <v>6.5129999999999999</v>
      </c>
      <c r="H279" s="81"/>
    </row>
    <row r="280" spans="1:8" x14ac:dyDescent="0.25">
      <c r="A280" s="1" t="s">
        <v>4</v>
      </c>
      <c r="B280" s="2" t="s">
        <v>4</v>
      </c>
      <c r="C280" s="2" t="s">
        <v>4</v>
      </c>
      <c r="D280" s="79" t="s">
        <v>516</v>
      </c>
      <c r="E280" s="378" t="s">
        <v>470</v>
      </c>
      <c r="F280" s="378"/>
      <c r="G280" s="80">
        <v>6.6234999999999999</v>
      </c>
      <c r="H280" s="67" t="s">
        <v>4</v>
      </c>
    </row>
    <row r="281" spans="1:8" x14ac:dyDescent="0.25">
      <c r="A281" s="1" t="s">
        <v>4</v>
      </c>
      <c r="B281" s="2" t="s">
        <v>4</v>
      </c>
      <c r="C281" s="2" t="s">
        <v>4</v>
      </c>
      <c r="D281" s="79" t="s">
        <v>517</v>
      </c>
      <c r="E281" s="378" t="s">
        <v>472</v>
      </c>
      <c r="F281" s="378"/>
      <c r="G281" s="80">
        <v>6.5454999999999997</v>
      </c>
      <c r="H281" s="67" t="s">
        <v>4</v>
      </c>
    </row>
    <row r="282" spans="1:8" x14ac:dyDescent="0.25">
      <c r="A282" s="1" t="s">
        <v>4</v>
      </c>
      <c r="B282" s="2" t="s">
        <v>4</v>
      </c>
      <c r="C282" s="2" t="s">
        <v>4</v>
      </c>
      <c r="D282" s="79" t="s">
        <v>518</v>
      </c>
      <c r="E282" s="378" t="s">
        <v>474</v>
      </c>
      <c r="F282" s="378"/>
      <c r="G282" s="80">
        <v>6.6234999999999999</v>
      </c>
      <c r="H282" s="67" t="s">
        <v>4</v>
      </c>
    </row>
    <row r="283" spans="1:8" x14ac:dyDescent="0.25">
      <c r="A283" s="1" t="s">
        <v>418</v>
      </c>
      <c r="B283" s="2" t="s">
        <v>82</v>
      </c>
      <c r="C283" s="2" t="s">
        <v>419</v>
      </c>
      <c r="D283" s="284" t="s">
        <v>420</v>
      </c>
      <c r="E283" s="284"/>
      <c r="F283" s="2" t="s">
        <v>173</v>
      </c>
      <c r="G283" s="37">
        <v>91.462199999999996</v>
      </c>
      <c r="H283" s="38">
        <v>0</v>
      </c>
    </row>
    <row r="284" spans="1:8" x14ac:dyDescent="0.25">
      <c r="A284" s="1" t="s">
        <v>421</v>
      </c>
      <c r="B284" s="2" t="s">
        <v>82</v>
      </c>
      <c r="C284" s="2" t="s">
        <v>422</v>
      </c>
      <c r="D284" s="284" t="s">
        <v>423</v>
      </c>
      <c r="E284" s="284"/>
      <c r="F284" s="2" t="s">
        <v>191</v>
      </c>
      <c r="G284" s="37">
        <v>17</v>
      </c>
      <c r="H284" s="38">
        <v>0</v>
      </c>
    </row>
    <row r="285" spans="1:8" x14ac:dyDescent="0.25">
      <c r="A285" s="78"/>
      <c r="D285" s="79" t="s">
        <v>519</v>
      </c>
      <c r="E285" s="378" t="s">
        <v>451</v>
      </c>
      <c r="F285" s="378"/>
      <c r="G285" s="80">
        <v>5</v>
      </c>
      <c r="H285" s="81"/>
    </row>
    <row r="286" spans="1:8" x14ac:dyDescent="0.25">
      <c r="A286" s="1" t="s">
        <v>4</v>
      </c>
      <c r="B286" s="2" t="s">
        <v>4</v>
      </c>
      <c r="C286" s="2" t="s">
        <v>4</v>
      </c>
      <c r="D286" s="79" t="s">
        <v>519</v>
      </c>
      <c r="E286" s="378" t="s">
        <v>470</v>
      </c>
      <c r="F286" s="378"/>
      <c r="G286" s="80">
        <v>5</v>
      </c>
      <c r="H286" s="67" t="s">
        <v>4</v>
      </c>
    </row>
    <row r="287" spans="1:8" x14ac:dyDescent="0.25">
      <c r="A287" s="1" t="s">
        <v>4</v>
      </c>
      <c r="B287" s="2" t="s">
        <v>4</v>
      </c>
      <c r="C287" s="2" t="s">
        <v>4</v>
      </c>
      <c r="D287" s="79" t="s">
        <v>520</v>
      </c>
      <c r="E287" s="378" t="s">
        <v>472</v>
      </c>
      <c r="F287" s="378"/>
      <c r="G287" s="80">
        <v>4</v>
      </c>
      <c r="H287" s="67" t="s">
        <v>4</v>
      </c>
    </row>
    <row r="288" spans="1:8" x14ac:dyDescent="0.25">
      <c r="A288" s="1" t="s">
        <v>4</v>
      </c>
      <c r="B288" s="2" t="s">
        <v>4</v>
      </c>
      <c r="C288" s="2" t="s">
        <v>4</v>
      </c>
      <c r="D288" s="79" t="s">
        <v>160</v>
      </c>
      <c r="E288" s="378" t="s">
        <v>474</v>
      </c>
      <c r="F288" s="378"/>
      <c r="G288" s="80">
        <v>3</v>
      </c>
      <c r="H288" s="67" t="s">
        <v>4</v>
      </c>
    </row>
    <row r="289" spans="1:8" x14ac:dyDescent="0.25">
      <c r="A289" s="1" t="s">
        <v>424</v>
      </c>
      <c r="B289" s="2" t="s">
        <v>82</v>
      </c>
      <c r="C289" s="2" t="s">
        <v>425</v>
      </c>
      <c r="D289" s="284" t="s">
        <v>426</v>
      </c>
      <c r="E289" s="284"/>
      <c r="F289" s="2" t="s">
        <v>173</v>
      </c>
      <c r="G289" s="37">
        <v>92.101230000000001</v>
      </c>
      <c r="H289" s="38">
        <v>0</v>
      </c>
    </row>
    <row r="290" spans="1:8" x14ac:dyDescent="0.25">
      <c r="A290" s="1" t="s">
        <v>427</v>
      </c>
      <c r="B290" s="2" t="s">
        <v>82</v>
      </c>
      <c r="C290" s="2" t="s">
        <v>428</v>
      </c>
      <c r="D290" s="284" t="s">
        <v>429</v>
      </c>
      <c r="E290" s="284"/>
      <c r="F290" s="2" t="s">
        <v>173</v>
      </c>
      <c r="G290" s="37">
        <v>0.63902999999999999</v>
      </c>
      <c r="H290" s="38">
        <v>0</v>
      </c>
    </row>
    <row r="291" spans="1:8" x14ac:dyDescent="0.25">
      <c r="A291" s="1" t="s">
        <v>430</v>
      </c>
      <c r="B291" s="2" t="s">
        <v>82</v>
      </c>
      <c r="C291" s="2" t="s">
        <v>431</v>
      </c>
      <c r="D291" s="284" t="s">
        <v>432</v>
      </c>
      <c r="E291" s="284"/>
      <c r="F291" s="2" t="s">
        <v>173</v>
      </c>
      <c r="G291" s="37">
        <v>1382.7334499999999</v>
      </c>
      <c r="H291" s="38">
        <v>0</v>
      </c>
    </row>
    <row r="292" spans="1:8" x14ac:dyDescent="0.25">
      <c r="A292" s="78"/>
      <c r="D292" s="79" t="s">
        <v>521</v>
      </c>
      <c r="E292" s="378" t="s">
        <v>4</v>
      </c>
      <c r="F292" s="378"/>
      <c r="G292" s="80">
        <v>1382.7334499999999</v>
      </c>
      <c r="H292" s="81"/>
    </row>
    <row r="293" spans="1:8" x14ac:dyDescent="0.25">
      <c r="A293" s="1" t="s">
        <v>433</v>
      </c>
      <c r="B293" s="2" t="s">
        <v>82</v>
      </c>
      <c r="C293" s="2" t="s">
        <v>434</v>
      </c>
      <c r="D293" s="284" t="s">
        <v>435</v>
      </c>
      <c r="E293" s="284"/>
      <c r="F293" s="2" t="s">
        <v>173</v>
      </c>
      <c r="G293" s="37">
        <v>92.182230000000004</v>
      </c>
      <c r="H293" s="38">
        <v>0</v>
      </c>
    </row>
    <row r="294" spans="1:8" x14ac:dyDescent="0.25">
      <c r="A294" s="1" t="s">
        <v>436</v>
      </c>
      <c r="B294" s="2" t="s">
        <v>82</v>
      </c>
      <c r="C294" s="2" t="s">
        <v>437</v>
      </c>
      <c r="D294" s="284" t="s">
        <v>438</v>
      </c>
      <c r="E294" s="284"/>
      <c r="F294" s="2" t="s">
        <v>173</v>
      </c>
      <c r="G294" s="37">
        <v>184.36446000000001</v>
      </c>
      <c r="H294" s="38">
        <v>0</v>
      </c>
    </row>
    <row r="295" spans="1:8" x14ac:dyDescent="0.25">
      <c r="A295" s="78"/>
      <c r="D295" s="79" t="s">
        <v>522</v>
      </c>
      <c r="E295" s="378" t="s">
        <v>4</v>
      </c>
      <c r="F295" s="378"/>
      <c r="G295" s="80">
        <v>184.36446000000001</v>
      </c>
      <c r="H295" s="81"/>
    </row>
    <row r="296" spans="1:8" x14ac:dyDescent="0.25">
      <c r="A296" s="1" t="s">
        <v>439</v>
      </c>
      <c r="B296" s="2" t="s">
        <v>82</v>
      </c>
      <c r="C296" s="2" t="s">
        <v>440</v>
      </c>
      <c r="D296" s="284" t="s">
        <v>441</v>
      </c>
      <c r="E296" s="284"/>
      <c r="F296" s="2" t="s">
        <v>173</v>
      </c>
      <c r="G296" s="37">
        <v>92.182230000000004</v>
      </c>
      <c r="H296" s="38">
        <v>0</v>
      </c>
    </row>
    <row r="297" spans="1:8" x14ac:dyDescent="0.25">
      <c r="A297" s="77" t="s">
        <v>4</v>
      </c>
      <c r="B297" s="62" t="s">
        <v>113</v>
      </c>
      <c r="C297" s="62" t="s">
        <v>4</v>
      </c>
      <c r="D297" s="371" t="s">
        <v>112</v>
      </c>
      <c r="E297" s="371"/>
      <c r="F297" s="62" t="s">
        <v>4</v>
      </c>
      <c r="G297" s="49" t="s">
        <v>4</v>
      </c>
      <c r="H297" s="65" t="s">
        <v>4</v>
      </c>
    </row>
    <row r="298" spans="1:8" x14ac:dyDescent="0.25">
      <c r="A298" s="77" t="s">
        <v>4</v>
      </c>
      <c r="B298" s="62" t="s">
        <v>113</v>
      </c>
      <c r="C298" s="62" t="s">
        <v>114</v>
      </c>
      <c r="D298" s="371" t="s">
        <v>115</v>
      </c>
      <c r="E298" s="371"/>
      <c r="F298" s="62" t="s">
        <v>4</v>
      </c>
      <c r="G298" s="49" t="s">
        <v>4</v>
      </c>
      <c r="H298" s="65" t="s">
        <v>4</v>
      </c>
    </row>
    <row r="299" spans="1:8" x14ac:dyDescent="0.25">
      <c r="A299" s="1" t="s">
        <v>442</v>
      </c>
      <c r="B299" s="2" t="s">
        <v>113</v>
      </c>
      <c r="C299" s="2" t="s">
        <v>443</v>
      </c>
      <c r="D299" s="284" t="s">
        <v>444</v>
      </c>
      <c r="E299" s="284"/>
      <c r="F299" s="2" t="s">
        <v>402</v>
      </c>
      <c r="G299" s="37">
        <v>1</v>
      </c>
      <c r="H299" s="38">
        <v>0</v>
      </c>
    </row>
    <row r="300" spans="1:8" x14ac:dyDescent="0.25">
      <c r="A300" s="82"/>
      <c r="B300" s="83"/>
      <c r="C300" s="83"/>
      <c r="D300" s="84" t="s">
        <v>147</v>
      </c>
      <c r="E300" s="381" t="s">
        <v>4</v>
      </c>
      <c r="F300" s="381"/>
      <c r="G300" s="85">
        <v>1</v>
      </c>
      <c r="H300" s="86"/>
    </row>
    <row r="302" spans="1:8" x14ac:dyDescent="0.25">
      <c r="A302" s="42" t="s">
        <v>56</v>
      </c>
    </row>
    <row r="303" spans="1:8" ht="40.5" customHeight="1" x14ac:dyDescent="0.25">
      <c r="A303" s="287" t="s">
        <v>57</v>
      </c>
      <c r="B303" s="284"/>
      <c r="C303" s="284"/>
      <c r="D303" s="284"/>
      <c r="E303" s="284"/>
      <c r="F303" s="284"/>
      <c r="G303" s="284"/>
    </row>
  </sheetData>
  <sheetProtection password="CC91" sheet="1"/>
  <mergeCells count="309">
    <mergeCell ref="D299:E299"/>
    <mergeCell ref="E300:F300"/>
    <mergeCell ref="A303:G303"/>
    <mergeCell ref="D294:E294"/>
    <mergeCell ref="E295:F295"/>
    <mergeCell ref="D296:E296"/>
    <mergeCell ref="D297:E297"/>
    <mergeCell ref="D298:E298"/>
    <mergeCell ref="D289:E289"/>
    <mergeCell ref="D290:E290"/>
    <mergeCell ref="D291:E291"/>
    <mergeCell ref="E292:F292"/>
    <mergeCell ref="D293:E293"/>
    <mergeCell ref="D284:E284"/>
    <mergeCell ref="E285:F285"/>
    <mergeCell ref="E286:F286"/>
    <mergeCell ref="E287:F287"/>
    <mergeCell ref="E288:F288"/>
    <mergeCell ref="E279:F279"/>
    <mergeCell ref="E280:F280"/>
    <mergeCell ref="E281:F281"/>
    <mergeCell ref="E282:F282"/>
    <mergeCell ref="D283:E283"/>
    <mergeCell ref="E274:F274"/>
    <mergeCell ref="E275:F275"/>
    <mergeCell ref="E276:F276"/>
    <mergeCell ref="E277:F277"/>
    <mergeCell ref="D278:E278"/>
    <mergeCell ref="E269:F269"/>
    <mergeCell ref="E270:F270"/>
    <mergeCell ref="D271:E271"/>
    <mergeCell ref="E272:F272"/>
    <mergeCell ref="D273:E273"/>
    <mergeCell ref="D264:E264"/>
    <mergeCell ref="D265:E265"/>
    <mergeCell ref="D266:E266"/>
    <mergeCell ref="E267:F267"/>
    <mergeCell ref="E268:F268"/>
    <mergeCell ref="E259:F259"/>
    <mergeCell ref="E260:F260"/>
    <mergeCell ref="E261:F261"/>
    <mergeCell ref="D262:E262"/>
    <mergeCell ref="E263:F263"/>
    <mergeCell ref="E254:F254"/>
    <mergeCell ref="E255:F255"/>
    <mergeCell ref="E256:F256"/>
    <mergeCell ref="D257:E257"/>
    <mergeCell ref="D258:E258"/>
    <mergeCell ref="E249:F249"/>
    <mergeCell ref="E250:F250"/>
    <mergeCell ref="D251:E251"/>
    <mergeCell ref="D252:E252"/>
    <mergeCell ref="E253:F253"/>
    <mergeCell ref="E244:F244"/>
    <mergeCell ref="E245:F245"/>
    <mergeCell ref="E246:F246"/>
    <mergeCell ref="D247:E247"/>
    <mergeCell ref="E248:F248"/>
    <mergeCell ref="E239:F239"/>
    <mergeCell ref="D240:E240"/>
    <mergeCell ref="E241:F241"/>
    <mergeCell ref="E242:F242"/>
    <mergeCell ref="D243:E243"/>
    <mergeCell ref="E234:F234"/>
    <mergeCell ref="E235:F235"/>
    <mergeCell ref="D236:E236"/>
    <mergeCell ref="E237:F237"/>
    <mergeCell ref="D238:E238"/>
    <mergeCell ref="E229:F229"/>
    <mergeCell ref="D230:E230"/>
    <mergeCell ref="D231:E231"/>
    <mergeCell ref="E232:F232"/>
    <mergeCell ref="E233:F233"/>
    <mergeCell ref="E224:F224"/>
    <mergeCell ref="E225:F225"/>
    <mergeCell ref="D226:E226"/>
    <mergeCell ref="E227:F227"/>
    <mergeCell ref="D228:E228"/>
    <mergeCell ref="E219:F219"/>
    <mergeCell ref="E220:F220"/>
    <mergeCell ref="D221:E221"/>
    <mergeCell ref="E222:F222"/>
    <mergeCell ref="E223:F223"/>
    <mergeCell ref="E214:F214"/>
    <mergeCell ref="E215:F215"/>
    <mergeCell ref="D216:E216"/>
    <mergeCell ref="E217:F217"/>
    <mergeCell ref="E218:F218"/>
    <mergeCell ref="E209:F209"/>
    <mergeCell ref="E210:F210"/>
    <mergeCell ref="D211:E211"/>
    <mergeCell ref="E212:F212"/>
    <mergeCell ref="E213:F213"/>
    <mergeCell ref="E204:F204"/>
    <mergeCell ref="D205:E205"/>
    <mergeCell ref="D206:E206"/>
    <mergeCell ref="E207:F207"/>
    <mergeCell ref="E208:F208"/>
    <mergeCell ref="E199:F199"/>
    <mergeCell ref="D200:E200"/>
    <mergeCell ref="E201:F201"/>
    <mergeCell ref="E202:F202"/>
    <mergeCell ref="D203:E203"/>
    <mergeCell ref="D194:E194"/>
    <mergeCell ref="E195:F195"/>
    <mergeCell ref="E196:F196"/>
    <mergeCell ref="E197:F197"/>
    <mergeCell ref="E198:F198"/>
    <mergeCell ref="D189:E189"/>
    <mergeCell ref="E190:F190"/>
    <mergeCell ref="E191:F191"/>
    <mergeCell ref="E192:F192"/>
    <mergeCell ref="E193:F193"/>
    <mergeCell ref="D184:E184"/>
    <mergeCell ref="E185:F185"/>
    <mergeCell ref="E186:F186"/>
    <mergeCell ref="E187:F187"/>
    <mergeCell ref="E188:F188"/>
    <mergeCell ref="D179:E179"/>
    <mergeCell ref="E180:F180"/>
    <mergeCell ref="E181:F181"/>
    <mergeCell ref="E182:F182"/>
    <mergeCell ref="E183:F183"/>
    <mergeCell ref="E174:F174"/>
    <mergeCell ref="E175:F175"/>
    <mergeCell ref="D176:E176"/>
    <mergeCell ref="E177:F177"/>
    <mergeCell ref="D178:E178"/>
    <mergeCell ref="E169:F169"/>
    <mergeCell ref="E170:F170"/>
    <mergeCell ref="D171:E171"/>
    <mergeCell ref="E172:F172"/>
    <mergeCell ref="E173:F173"/>
    <mergeCell ref="E164:F164"/>
    <mergeCell ref="E165:F165"/>
    <mergeCell ref="D166:E166"/>
    <mergeCell ref="E167:F167"/>
    <mergeCell ref="E168:F168"/>
    <mergeCell ref="E159:F159"/>
    <mergeCell ref="E160:F160"/>
    <mergeCell ref="D161:E161"/>
    <mergeCell ref="E162:F162"/>
    <mergeCell ref="E163:F163"/>
    <mergeCell ref="E154:F154"/>
    <mergeCell ref="E155:F155"/>
    <mergeCell ref="D156:E156"/>
    <mergeCell ref="E157:F157"/>
    <mergeCell ref="E158:F158"/>
    <mergeCell ref="D149:E149"/>
    <mergeCell ref="E150:F150"/>
    <mergeCell ref="D151:E151"/>
    <mergeCell ref="E152:F152"/>
    <mergeCell ref="E153:F153"/>
    <mergeCell ref="E144:F144"/>
    <mergeCell ref="E145:F145"/>
    <mergeCell ref="E146:F146"/>
    <mergeCell ref="D147:E147"/>
    <mergeCell ref="E148:F148"/>
    <mergeCell ref="D139:E139"/>
    <mergeCell ref="E140:F140"/>
    <mergeCell ref="D141:E141"/>
    <mergeCell ref="D142:E142"/>
    <mergeCell ref="E143:F143"/>
    <mergeCell ref="E134:F134"/>
    <mergeCell ref="D135:E135"/>
    <mergeCell ref="E136:F136"/>
    <mergeCell ref="D137:E137"/>
    <mergeCell ref="E138:F138"/>
    <mergeCell ref="E129:F129"/>
    <mergeCell ref="E130:F130"/>
    <mergeCell ref="D131:E131"/>
    <mergeCell ref="E132:F132"/>
    <mergeCell ref="D133:E133"/>
    <mergeCell ref="E124:F124"/>
    <mergeCell ref="D125:E125"/>
    <mergeCell ref="E126:F126"/>
    <mergeCell ref="E127:F127"/>
    <mergeCell ref="D128:E128"/>
    <mergeCell ref="D119:E119"/>
    <mergeCell ref="E120:F120"/>
    <mergeCell ref="E121:F121"/>
    <mergeCell ref="D122:E122"/>
    <mergeCell ref="E123:F123"/>
    <mergeCell ref="E114:F114"/>
    <mergeCell ref="D115:E115"/>
    <mergeCell ref="D116:E116"/>
    <mergeCell ref="E117:F117"/>
    <mergeCell ref="E118:F118"/>
    <mergeCell ref="D109:E109"/>
    <mergeCell ref="E110:F110"/>
    <mergeCell ref="D111:E111"/>
    <mergeCell ref="E112:F112"/>
    <mergeCell ref="D113:E113"/>
    <mergeCell ref="E104:F104"/>
    <mergeCell ref="D105:E105"/>
    <mergeCell ref="E106:F106"/>
    <mergeCell ref="D107:E107"/>
    <mergeCell ref="E108:F108"/>
    <mergeCell ref="D99:E99"/>
    <mergeCell ref="E100:F100"/>
    <mergeCell ref="D101:E101"/>
    <mergeCell ref="E102:F102"/>
    <mergeCell ref="D103:E103"/>
    <mergeCell ref="E94:F94"/>
    <mergeCell ref="D95:E95"/>
    <mergeCell ref="E96:F96"/>
    <mergeCell ref="D97:E97"/>
    <mergeCell ref="E98:F98"/>
    <mergeCell ref="D89:E89"/>
    <mergeCell ref="E90:F90"/>
    <mergeCell ref="D91:E91"/>
    <mergeCell ref="E92:F92"/>
    <mergeCell ref="D93:E93"/>
    <mergeCell ref="D84:E84"/>
    <mergeCell ref="E85:F85"/>
    <mergeCell ref="D86:E86"/>
    <mergeCell ref="D87:E87"/>
    <mergeCell ref="E88:F88"/>
    <mergeCell ref="E79:F79"/>
    <mergeCell ref="D80:E80"/>
    <mergeCell ref="E81:F81"/>
    <mergeCell ref="D82:E82"/>
    <mergeCell ref="E83:F83"/>
    <mergeCell ref="D74:E74"/>
    <mergeCell ref="E75:F75"/>
    <mergeCell ref="D76:E76"/>
    <mergeCell ref="E77:F77"/>
    <mergeCell ref="D78:E78"/>
    <mergeCell ref="E69:F69"/>
    <mergeCell ref="D70:E70"/>
    <mergeCell ref="E71:F71"/>
    <mergeCell ref="D72:E72"/>
    <mergeCell ref="E73:F73"/>
    <mergeCell ref="D64:E64"/>
    <mergeCell ref="E65:F65"/>
    <mergeCell ref="D66:E66"/>
    <mergeCell ref="E67:F67"/>
    <mergeCell ref="D68:E68"/>
    <mergeCell ref="D59:E59"/>
    <mergeCell ref="E60:F60"/>
    <mergeCell ref="D61:E61"/>
    <mergeCell ref="D62:E62"/>
    <mergeCell ref="E63:F63"/>
    <mergeCell ref="D54:E54"/>
    <mergeCell ref="E55:F55"/>
    <mergeCell ref="E56:F56"/>
    <mergeCell ref="E57:F57"/>
    <mergeCell ref="E58:F58"/>
    <mergeCell ref="E49:F49"/>
    <mergeCell ref="E50:F50"/>
    <mergeCell ref="E51:F51"/>
    <mergeCell ref="E52:F52"/>
    <mergeCell ref="E53:F53"/>
    <mergeCell ref="E44:F44"/>
    <mergeCell ref="E45:F45"/>
    <mergeCell ref="E46:F46"/>
    <mergeCell ref="E47:F47"/>
    <mergeCell ref="D48:E48"/>
    <mergeCell ref="E39:F39"/>
    <mergeCell ref="E40:F40"/>
    <mergeCell ref="D41:E41"/>
    <mergeCell ref="D42:E42"/>
    <mergeCell ref="D43:E43"/>
    <mergeCell ref="E34:F34"/>
    <mergeCell ref="D35:E35"/>
    <mergeCell ref="D36:E36"/>
    <mergeCell ref="E37:F37"/>
    <mergeCell ref="E38:F38"/>
    <mergeCell ref="E29:F29"/>
    <mergeCell ref="D30:E30"/>
    <mergeCell ref="E31:F31"/>
    <mergeCell ref="E32:F32"/>
    <mergeCell ref="E33:F33"/>
    <mergeCell ref="E24:F24"/>
    <mergeCell ref="D25:E25"/>
    <mergeCell ref="E26:F26"/>
    <mergeCell ref="E27:F27"/>
    <mergeCell ref="E28:F28"/>
    <mergeCell ref="E19:F19"/>
    <mergeCell ref="E20:F20"/>
    <mergeCell ref="E21:F21"/>
    <mergeCell ref="E22:F22"/>
    <mergeCell ref="E23:F23"/>
    <mergeCell ref="E14:F14"/>
    <mergeCell ref="D15:E15"/>
    <mergeCell ref="D16:E16"/>
    <mergeCell ref="E17:F17"/>
    <mergeCell ref="E18:F18"/>
    <mergeCell ref="F8:H9"/>
    <mergeCell ref="D10:E10"/>
    <mergeCell ref="D11:E11"/>
    <mergeCell ref="D12:E12"/>
    <mergeCell ref="D13:E13"/>
    <mergeCell ref="A1:H1"/>
    <mergeCell ref="A2:B3"/>
    <mergeCell ref="A4:B5"/>
    <mergeCell ref="A6:B7"/>
    <mergeCell ref="A8:B9"/>
    <mergeCell ref="E2:E3"/>
    <mergeCell ref="E4:E5"/>
    <mergeCell ref="E6:E7"/>
    <mergeCell ref="E8:E9"/>
    <mergeCell ref="C2:D3"/>
    <mergeCell ref="C4:D5"/>
    <mergeCell ref="C6:D7"/>
    <mergeCell ref="C8:D9"/>
    <mergeCell ref="F2:H3"/>
    <mergeCell ref="F4:H5"/>
    <mergeCell ref="F6:H7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34C58-5475-4899-A499-A90F0CBF8408}">
  <dimension ref="A1:H36"/>
  <sheetViews>
    <sheetView workbookViewId="0">
      <selection activeCell="F9" sqref="F9"/>
    </sheetView>
  </sheetViews>
  <sheetFormatPr defaultColWidth="8.85546875" defaultRowHeight="12.75" x14ac:dyDescent="0.2"/>
  <cols>
    <col min="1" max="1" width="6.5703125" style="87" customWidth="1"/>
    <col min="2" max="2" width="10.7109375" style="87" customWidth="1"/>
    <col min="3" max="3" width="35.28515625" style="87" customWidth="1"/>
    <col min="4" max="4" width="6.7109375" style="87" customWidth="1"/>
    <col min="5" max="5" width="7.28515625" style="87" customWidth="1"/>
    <col min="6" max="7" width="8.85546875" style="87"/>
    <col min="8" max="8" width="12.42578125" style="87" customWidth="1"/>
    <col min="9" max="9" width="7.5703125" style="87" customWidth="1"/>
    <col min="10" max="16384" width="8.85546875" style="87"/>
  </cols>
  <sheetData>
    <row r="1" spans="1:8" x14ac:dyDescent="0.2">
      <c r="A1" s="87" t="s">
        <v>523</v>
      </c>
      <c r="B1" s="87" t="s">
        <v>524</v>
      </c>
    </row>
    <row r="2" spans="1:8" x14ac:dyDescent="0.2">
      <c r="A2" s="87" t="s">
        <v>525</v>
      </c>
      <c r="B2" s="87" t="s">
        <v>526</v>
      </c>
    </row>
    <row r="3" spans="1:8" ht="13.5" thickBot="1" x14ac:dyDescent="0.25"/>
    <row r="4" spans="1:8" x14ac:dyDescent="0.2">
      <c r="A4" s="88"/>
      <c r="B4" s="89"/>
      <c r="C4" s="90"/>
      <c r="D4" s="89"/>
      <c r="E4" s="89"/>
      <c r="F4" s="91" t="s">
        <v>527</v>
      </c>
      <c r="G4" s="92"/>
      <c r="H4" s="93"/>
    </row>
    <row r="5" spans="1:8" ht="13.5" thickBot="1" x14ac:dyDescent="0.25">
      <c r="A5" s="94" t="s">
        <v>528</v>
      </c>
      <c r="B5" s="95" t="s">
        <v>529</v>
      </c>
      <c r="C5" s="96" t="s">
        <v>530</v>
      </c>
      <c r="D5" s="97" t="s">
        <v>125</v>
      </c>
      <c r="E5" s="97" t="s">
        <v>531</v>
      </c>
      <c r="F5" s="97" t="s">
        <v>532</v>
      </c>
      <c r="G5" s="98" t="s">
        <v>533</v>
      </c>
      <c r="H5" s="99" t="s">
        <v>534</v>
      </c>
    </row>
    <row r="6" spans="1:8" x14ac:dyDescent="0.2">
      <c r="A6" s="100"/>
      <c r="B6" s="101"/>
      <c r="C6" s="102"/>
      <c r="D6" s="101"/>
      <c r="E6" s="101"/>
      <c r="F6" s="101"/>
      <c r="G6" s="103"/>
      <c r="H6" s="104"/>
    </row>
    <row r="7" spans="1:8" x14ac:dyDescent="0.2">
      <c r="A7" s="105" t="s">
        <v>535</v>
      </c>
      <c r="B7" s="106"/>
      <c r="C7" s="107"/>
      <c r="D7" s="106"/>
      <c r="E7" s="106"/>
      <c r="F7" s="106"/>
      <c r="G7" s="108"/>
      <c r="H7" s="109"/>
    </row>
    <row r="8" spans="1:8" x14ac:dyDescent="0.2">
      <c r="A8" s="110"/>
      <c r="B8" s="108"/>
      <c r="C8" s="111"/>
      <c r="D8" s="108"/>
      <c r="E8" s="108"/>
      <c r="F8" s="108"/>
      <c r="G8" s="108"/>
      <c r="H8" s="112"/>
    </row>
    <row r="9" spans="1:8" ht="63.75" x14ac:dyDescent="0.2">
      <c r="A9" s="110" t="s">
        <v>536</v>
      </c>
      <c r="B9" s="113">
        <v>341110367</v>
      </c>
      <c r="C9" s="114" t="s">
        <v>537</v>
      </c>
      <c r="D9" s="108" t="s">
        <v>203</v>
      </c>
      <c r="E9" s="108">
        <v>210</v>
      </c>
      <c r="F9" s="115"/>
      <c r="G9" s="108">
        <f t="shared" ref="G9:G32" si="0">E9*F9</f>
        <v>0</v>
      </c>
      <c r="H9" s="112" t="s">
        <v>538</v>
      </c>
    </row>
    <row r="10" spans="1:8" ht="63.75" x14ac:dyDescent="0.2">
      <c r="A10" s="110" t="s">
        <v>539</v>
      </c>
      <c r="B10" s="116">
        <v>341110394</v>
      </c>
      <c r="C10" s="114" t="s">
        <v>540</v>
      </c>
      <c r="D10" s="117" t="s">
        <v>203</v>
      </c>
      <c r="E10" s="117">
        <v>180</v>
      </c>
      <c r="F10" s="118"/>
      <c r="G10" s="108">
        <f t="shared" si="0"/>
        <v>0</v>
      </c>
      <c r="H10" s="119" t="s">
        <v>538</v>
      </c>
    </row>
    <row r="11" spans="1:8" x14ac:dyDescent="0.2">
      <c r="A11" s="110"/>
      <c r="B11" s="108"/>
      <c r="C11" s="120"/>
      <c r="D11" s="108"/>
      <c r="E11" s="108"/>
      <c r="F11" s="115"/>
      <c r="G11" s="108"/>
      <c r="H11" s="112"/>
    </row>
    <row r="12" spans="1:8" x14ac:dyDescent="0.2">
      <c r="A12" s="105" t="s">
        <v>541</v>
      </c>
      <c r="B12" s="108"/>
      <c r="C12" s="120"/>
      <c r="D12" s="108"/>
      <c r="E12" s="108"/>
      <c r="F12" s="115"/>
      <c r="G12" s="108"/>
      <c r="H12" s="112"/>
    </row>
    <row r="13" spans="1:8" x14ac:dyDescent="0.2">
      <c r="A13" s="110"/>
      <c r="B13" s="108"/>
      <c r="C13" s="120"/>
      <c r="D13" s="108"/>
      <c r="E13" s="108"/>
      <c r="F13" s="115"/>
      <c r="G13" s="108"/>
      <c r="H13" s="112"/>
    </row>
    <row r="14" spans="1:8" x14ac:dyDescent="0.2">
      <c r="A14" s="110" t="s">
        <v>542</v>
      </c>
      <c r="B14" s="121">
        <v>345355512</v>
      </c>
      <c r="C14" s="122" t="s">
        <v>543</v>
      </c>
      <c r="D14" s="108" t="s">
        <v>191</v>
      </c>
      <c r="E14" s="108">
        <v>12</v>
      </c>
      <c r="F14" s="115"/>
      <c r="G14" s="108">
        <f t="shared" si="0"/>
        <v>0</v>
      </c>
      <c r="H14" s="112" t="s">
        <v>538</v>
      </c>
    </row>
    <row r="15" spans="1:8" x14ac:dyDescent="0.2">
      <c r="A15" s="110"/>
      <c r="B15" s="108"/>
      <c r="C15" s="120"/>
      <c r="D15" s="108"/>
      <c r="E15" s="108"/>
      <c r="F15" s="115"/>
      <c r="G15" s="108"/>
      <c r="H15" s="112"/>
    </row>
    <row r="16" spans="1:8" x14ac:dyDescent="0.2">
      <c r="A16" s="105" t="s">
        <v>544</v>
      </c>
      <c r="B16" s="108"/>
      <c r="C16" s="120"/>
      <c r="D16" s="108"/>
      <c r="E16" s="108"/>
      <c r="F16" s="115"/>
      <c r="G16" s="108"/>
      <c r="H16" s="112"/>
    </row>
    <row r="17" spans="1:8" x14ac:dyDescent="0.2">
      <c r="A17" s="110"/>
      <c r="B17" s="108"/>
      <c r="C17" s="120"/>
      <c r="D17" s="108"/>
      <c r="E17" s="108"/>
      <c r="F17" s="115"/>
      <c r="G17" s="108"/>
      <c r="H17" s="112"/>
    </row>
    <row r="18" spans="1:8" x14ac:dyDescent="0.2">
      <c r="A18" s="110" t="s">
        <v>545</v>
      </c>
      <c r="B18" s="123">
        <v>345218833</v>
      </c>
      <c r="C18" s="114" t="s">
        <v>546</v>
      </c>
      <c r="D18" s="108" t="s">
        <v>203</v>
      </c>
      <c r="E18" s="124">
        <v>1</v>
      </c>
      <c r="F18" s="115"/>
      <c r="G18" s="108">
        <f t="shared" si="0"/>
        <v>0</v>
      </c>
      <c r="H18" s="119" t="s">
        <v>538</v>
      </c>
    </row>
    <row r="19" spans="1:8" x14ac:dyDescent="0.2">
      <c r="A19" s="110" t="s">
        <v>547</v>
      </c>
      <c r="B19" s="121">
        <v>345218910</v>
      </c>
      <c r="C19" s="125" t="s">
        <v>548</v>
      </c>
      <c r="D19" s="111" t="s">
        <v>203</v>
      </c>
      <c r="E19" s="108">
        <v>124</v>
      </c>
      <c r="F19" s="126"/>
      <c r="G19" s="108">
        <f t="shared" si="0"/>
        <v>0</v>
      </c>
      <c r="H19" s="112" t="s">
        <v>549</v>
      </c>
    </row>
    <row r="20" spans="1:8" x14ac:dyDescent="0.2">
      <c r="A20" s="110" t="s">
        <v>550</v>
      </c>
      <c r="B20" s="121">
        <v>314324118</v>
      </c>
      <c r="C20" s="127" t="s">
        <v>551</v>
      </c>
      <c r="D20" s="125" t="s">
        <v>191</v>
      </c>
      <c r="E20" s="108">
        <v>346</v>
      </c>
      <c r="F20" s="128"/>
      <c r="G20" s="108">
        <f t="shared" si="0"/>
        <v>0</v>
      </c>
      <c r="H20" s="112" t="s">
        <v>549</v>
      </c>
    </row>
    <row r="21" spans="1:8" x14ac:dyDescent="0.2">
      <c r="A21" s="110" t="s">
        <v>552</v>
      </c>
      <c r="B21" s="121">
        <v>345711251</v>
      </c>
      <c r="C21" s="129" t="s">
        <v>553</v>
      </c>
      <c r="D21" s="125" t="s">
        <v>191</v>
      </c>
      <c r="E21" s="130">
        <v>4</v>
      </c>
      <c r="F21" s="131"/>
      <c r="G21" s="108">
        <f t="shared" si="0"/>
        <v>0</v>
      </c>
      <c r="H21" s="112" t="s">
        <v>538</v>
      </c>
    </row>
    <row r="22" spans="1:8" x14ac:dyDescent="0.2">
      <c r="A22" s="110"/>
      <c r="B22" s="108"/>
      <c r="C22" s="120"/>
      <c r="D22" s="108"/>
      <c r="E22" s="108"/>
      <c r="F22" s="115"/>
      <c r="G22" s="108"/>
      <c r="H22" s="112"/>
    </row>
    <row r="23" spans="1:8" x14ac:dyDescent="0.2">
      <c r="A23" s="105" t="s">
        <v>554</v>
      </c>
      <c r="B23" s="113"/>
      <c r="C23" s="114"/>
      <c r="D23" s="108"/>
      <c r="E23" s="108"/>
      <c r="F23" s="115"/>
      <c r="G23" s="108"/>
      <c r="H23" s="119"/>
    </row>
    <row r="24" spans="1:8" x14ac:dyDescent="0.2">
      <c r="A24" s="110"/>
      <c r="B24" s="113"/>
      <c r="C24" s="114"/>
      <c r="D24" s="108"/>
      <c r="E24" s="108"/>
      <c r="F24" s="115"/>
      <c r="G24" s="108"/>
      <c r="H24" s="119"/>
    </row>
    <row r="25" spans="1:8" ht="63.75" x14ac:dyDescent="0.2">
      <c r="A25" s="110" t="s">
        <v>555</v>
      </c>
      <c r="B25" s="121">
        <v>348531000</v>
      </c>
      <c r="C25" s="132" t="s">
        <v>556</v>
      </c>
      <c r="D25" s="108" t="s">
        <v>191</v>
      </c>
      <c r="E25" s="124">
        <v>28</v>
      </c>
      <c r="F25" s="115"/>
      <c r="G25" s="108">
        <f t="shared" si="0"/>
        <v>0</v>
      </c>
      <c r="H25" s="112" t="s">
        <v>538</v>
      </c>
    </row>
    <row r="26" spans="1:8" ht="39.4" customHeight="1" x14ac:dyDescent="0.2">
      <c r="A26" s="110" t="s">
        <v>557</v>
      </c>
      <c r="B26" s="133">
        <v>348531511</v>
      </c>
      <c r="C26" s="134" t="s">
        <v>558</v>
      </c>
      <c r="D26" s="135" t="s">
        <v>191</v>
      </c>
      <c r="E26" s="136">
        <v>1</v>
      </c>
      <c r="F26" s="137"/>
      <c r="G26" s="108">
        <f t="shared" si="0"/>
        <v>0</v>
      </c>
      <c r="H26" s="138" t="s">
        <v>538</v>
      </c>
    </row>
    <row r="27" spans="1:8" ht="25.5" x14ac:dyDescent="0.2">
      <c r="A27" s="110" t="s">
        <v>559</v>
      </c>
      <c r="B27" s="139" t="s">
        <v>560</v>
      </c>
      <c r="C27" s="140" t="s">
        <v>561</v>
      </c>
      <c r="D27" s="111" t="s">
        <v>191</v>
      </c>
      <c r="E27" s="111">
        <v>29</v>
      </c>
      <c r="F27" s="126"/>
      <c r="G27" s="108">
        <f t="shared" si="0"/>
        <v>0</v>
      </c>
      <c r="H27" s="119" t="s">
        <v>538</v>
      </c>
    </row>
    <row r="28" spans="1:8" x14ac:dyDescent="0.2">
      <c r="A28" s="110"/>
      <c r="B28" s="139"/>
      <c r="C28" s="120"/>
      <c r="D28" s="108"/>
      <c r="E28" s="108"/>
      <c r="F28" s="115"/>
      <c r="G28" s="108"/>
      <c r="H28" s="119"/>
    </row>
    <row r="29" spans="1:8" x14ac:dyDescent="0.2">
      <c r="A29" s="105" t="s">
        <v>562</v>
      </c>
      <c r="B29" s="125"/>
      <c r="C29" s="141"/>
      <c r="D29" s="124"/>
      <c r="E29" s="142"/>
      <c r="F29" s="143"/>
      <c r="G29" s="108"/>
      <c r="H29" s="112"/>
    </row>
    <row r="30" spans="1:8" x14ac:dyDescent="0.2">
      <c r="A30" s="110"/>
      <c r="B30" s="125"/>
      <c r="C30" s="141"/>
      <c r="D30" s="124"/>
      <c r="E30" s="142"/>
      <c r="F30" s="143"/>
      <c r="G30" s="108"/>
      <c r="H30" s="112"/>
    </row>
    <row r="31" spans="1:8" x14ac:dyDescent="0.2">
      <c r="A31" s="110" t="s">
        <v>563</v>
      </c>
      <c r="B31" s="113">
        <v>341228000</v>
      </c>
      <c r="C31" s="125" t="s">
        <v>564</v>
      </c>
      <c r="D31" s="125" t="s">
        <v>191</v>
      </c>
      <c r="E31" s="142">
        <v>1</v>
      </c>
      <c r="F31" s="143"/>
      <c r="G31" s="108">
        <f t="shared" si="0"/>
        <v>0</v>
      </c>
      <c r="H31" s="112" t="s">
        <v>538</v>
      </c>
    </row>
    <row r="32" spans="1:8" ht="89.25" x14ac:dyDescent="0.2">
      <c r="A32" s="110" t="s">
        <v>565</v>
      </c>
      <c r="B32" s="144">
        <v>341000000</v>
      </c>
      <c r="C32" s="145" t="s">
        <v>566</v>
      </c>
      <c r="D32" s="146" t="s">
        <v>191</v>
      </c>
      <c r="E32" s="145">
        <v>1</v>
      </c>
      <c r="F32" s="147"/>
      <c r="G32" s="148">
        <f t="shared" si="0"/>
        <v>0</v>
      </c>
      <c r="H32" s="149" t="s">
        <v>538</v>
      </c>
    </row>
    <row r="33" spans="1:8" ht="13.5" thickBot="1" x14ac:dyDescent="0.25">
      <c r="A33" s="150"/>
      <c r="B33" s="151"/>
      <c r="C33" s="152"/>
      <c r="D33" s="153"/>
      <c r="E33" s="154"/>
      <c r="F33" s="155"/>
      <c r="G33" s="156"/>
      <c r="H33" s="157"/>
    </row>
    <row r="34" spans="1:8" x14ac:dyDescent="0.2">
      <c r="A34" s="158"/>
      <c r="B34" s="159"/>
      <c r="C34" s="159"/>
      <c r="D34" s="160"/>
      <c r="E34" s="160"/>
      <c r="F34" s="160"/>
      <c r="G34" s="160"/>
      <c r="H34" s="161"/>
    </row>
    <row r="35" spans="1:8" x14ac:dyDescent="0.2">
      <c r="A35" s="162"/>
      <c r="B35" s="163" t="s">
        <v>567</v>
      </c>
      <c r="C35" s="163"/>
      <c r="D35" s="164"/>
      <c r="E35" s="164"/>
      <c r="F35" s="164"/>
      <c r="G35" s="164">
        <f>SUM(G9:G34)</f>
        <v>0</v>
      </c>
      <c r="H35" s="165"/>
    </row>
    <row r="36" spans="1:8" ht="13.5" thickBot="1" x14ac:dyDescent="0.25">
      <c r="A36" s="166"/>
      <c r="B36" s="167"/>
      <c r="C36" s="167"/>
      <c r="D36" s="168"/>
      <c r="E36" s="168"/>
      <c r="F36" s="168"/>
      <c r="G36" s="168"/>
      <c r="H36" s="169"/>
    </row>
  </sheetData>
  <sheetProtection algorithmName="SHA-512" hashValue="gtvsYErx32jYksJIaTp471EMB8LDo+XegEfTCHLZNvbB0tMo0twNjyTuznEsxq+O8S7BdfeOSogbZyTZC9AHCQ==" saltValue="EaHRhWXPWTxIqTOxphCv6g==" spinCount="100000" sheet="1" objects="1" scenarios="1"/>
  <protectedRanges>
    <protectedRange algorithmName="SHA-512" hashValue="WZ3IMvh01FBtA9lwIrlMmHs8V7cPdI8hhW2g49H7dBQLTzhUnlFQwSBFMzcbMZX2oB/neP0j1NiwU5iwhVgNug==" saltValue="ff2/QZMVTvitnu/NKkZ4yg==" spinCount="100000" sqref="F9:F32" name="Oblast1"/>
  </protectedRanges>
  <pageMargins left="0.7" right="0.7" top="0.78740157499999996" bottom="0.78740157499999996" header="0.3" footer="0.3"/>
  <pageSetup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5F452-121C-417A-9EF7-D114125681AD}">
  <dimension ref="A1:H47"/>
  <sheetViews>
    <sheetView topLeftCell="A35" workbookViewId="0">
      <selection activeCell="F43" sqref="F43"/>
    </sheetView>
  </sheetViews>
  <sheetFormatPr defaultColWidth="8.85546875" defaultRowHeight="12.75" x14ac:dyDescent="0.2"/>
  <cols>
    <col min="1" max="1" width="6.7109375" style="87" customWidth="1"/>
    <col min="2" max="2" width="10.28515625" style="87" customWidth="1"/>
    <col min="3" max="3" width="35.140625" style="87" customWidth="1"/>
    <col min="4" max="4" width="6.7109375" style="87" customWidth="1"/>
    <col min="5" max="5" width="7" style="87" customWidth="1"/>
    <col min="6" max="7" width="8.85546875" style="87"/>
    <col min="8" max="8" width="12.140625" style="87" customWidth="1"/>
    <col min="9" max="16384" width="8.85546875" style="87"/>
  </cols>
  <sheetData>
    <row r="1" spans="1:8" x14ac:dyDescent="0.2">
      <c r="A1" s="87" t="s">
        <v>523</v>
      </c>
      <c r="B1" s="87" t="s">
        <v>524</v>
      </c>
    </row>
    <row r="2" spans="1:8" x14ac:dyDescent="0.2">
      <c r="A2" s="87" t="s">
        <v>525</v>
      </c>
      <c r="B2" s="87" t="s">
        <v>526</v>
      </c>
    </row>
    <row r="3" spans="1:8" ht="13.5" thickBot="1" x14ac:dyDescent="0.25"/>
    <row r="4" spans="1:8" x14ac:dyDescent="0.2">
      <c r="A4" s="170"/>
      <c r="B4" s="171"/>
      <c r="C4" s="172"/>
      <c r="D4" s="171"/>
      <c r="E4" s="171"/>
      <c r="F4" s="173" t="s">
        <v>527</v>
      </c>
      <c r="G4" s="174"/>
      <c r="H4" s="175"/>
    </row>
    <row r="5" spans="1:8" ht="13.5" thickBot="1" x14ac:dyDescent="0.25">
      <c r="A5" s="176" t="s">
        <v>528</v>
      </c>
      <c r="B5" s="177" t="s">
        <v>529</v>
      </c>
      <c r="C5" s="178" t="s">
        <v>530</v>
      </c>
      <c r="D5" s="179" t="s">
        <v>125</v>
      </c>
      <c r="E5" s="179" t="s">
        <v>531</v>
      </c>
      <c r="F5" s="179" t="s">
        <v>532</v>
      </c>
      <c r="G5" s="180" t="s">
        <v>533</v>
      </c>
      <c r="H5" s="181" t="s">
        <v>534</v>
      </c>
    </row>
    <row r="6" spans="1:8" x14ac:dyDescent="0.2">
      <c r="A6" s="182"/>
      <c r="B6" s="183"/>
      <c r="C6" s="184"/>
      <c r="D6" s="183"/>
      <c r="E6" s="183"/>
      <c r="F6" s="183"/>
      <c r="G6" s="185"/>
      <c r="H6" s="186"/>
    </row>
    <row r="7" spans="1:8" x14ac:dyDescent="0.2">
      <c r="A7" s="187" t="s">
        <v>535</v>
      </c>
      <c r="B7" s="188"/>
      <c r="C7" s="189"/>
      <c r="D7" s="188"/>
      <c r="E7" s="188"/>
      <c r="F7" s="188"/>
      <c r="G7" s="190"/>
      <c r="H7" s="191"/>
    </row>
    <row r="8" spans="1:8" x14ac:dyDescent="0.2">
      <c r="A8" s="192"/>
      <c r="B8" s="190"/>
      <c r="C8" s="193"/>
      <c r="D8" s="190"/>
      <c r="E8" s="190"/>
      <c r="F8" s="190"/>
      <c r="G8" s="190"/>
      <c r="H8" s="194"/>
    </row>
    <row r="9" spans="1:8" ht="49.5" customHeight="1" x14ac:dyDescent="0.2">
      <c r="A9" s="110" t="s">
        <v>568</v>
      </c>
      <c r="B9" s="195">
        <v>741122211</v>
      </c>
      <c r="C9" s="196" t="s">
        <v>569</v>
      </c>
      <c r="D9" s="148" t="s">
        <v>203</v>
      </c>
      <c r="E9" s="145">
        <v>210</v>
      </c>
      <c r="F9" s="197"/>
      <c r="G9" s="190">
        <f t="shared" ref="G9:G43" si="0">E9*F9</f>
        <v>0</v>
      </c>
      <c r="H9" s="198" t="s">
        <v>570</v>
      </c>
    </row>
    <row r="10" spans="1:8" ht="50.65" customHeight="1" x14ac:dyDescent="0.2">
      <c r="A10" s="110" t="s">
        <v>571</v>
      </c>
      <c r="B10" s="199">
        <v>741122231</v>
      </c>
      <c r="C10" s="196" t="s">
        <v>572</v>
      </c>
      <c r="D10" s="145" t="s">
        <v>203</v>
      </c>
      <c r="E10" s="145">
        <v>180</v>
      </c>
      <c r="F10" s="197"/>
      <c r="G10" s="190">
        <f t="shared" si="0"/>
        <v>0</v>
      </c>
      <c r="H10" s="198" t="s">
        <v>570</v>
      </c>
    </row>
    <row r="11" spans="1:8" x14ac:dyDescent="0.2">
      <c r="A11" s="110"/>
      <c r="B11" s="148"/>
      <c r="C11" s="200"/>
      <c r="D11" s="148"/>
      <c r="E11" s="148"/>
      <c r="F11" s="197"/>
      <c r="G11" s="190"/>
      <c r="H11" s="194"/>
    </row>
    <row r="12" spans="1:8" x14ac:dyDescent="0.2">
      <c r="A12" s="105" t="s">
        <v>541</v>
      </c>
      <c r="B12" s="148"/>
      <c r="C12" s="200"/>
      <c r="D12" s="148"/>
      <c r="E12" s="148"/>
      <c r="F12" s="197"/>
      <c r="G12" s="190"/>
      <c r="H12" s="194"/>
    </row>
    <row r="13" spans="1:8" x14ac:dyDescent="0.2">
      <c r="A13" s="110"/>
      <c r="B13" s="148"/>
      <c r="C13" s="200"/>
      <c r="D13" s="148"/>
      <c r="E13" s="148"/>
      <c r="F13" s="197"/>
      <c r="G13" s="190"/>
      <c r="H13" s="194"/>
    </row>
    <row r="14" spans="1:8" ht="38.25" x14ac:dyDescent="0.2">
      <c r="A14" s="110" t="s">
        <v>573</v>
      </c>
      <c r="B14" s="201">
        <v>741311004</v>
      </c>
      <c r="C14" s="202" t="s">
        <v>574</v>
      </c>
      <c r="D14" s="202" t="s">
        <v>191</v>
      </c>
      <c r="E14" s="203">
        <v>12</v>
      </c>
      <c r="F14" s="204"/>
      <c r="G14" s="190">
        <f t="shared" si="0"/>
        <v>0</v>
      </c>
      <c r="H14" s="198" t="s">
        <v>570</v>
      </c>
    </row>
    <row r="15" spans="1:8" x14ac:dyDescent="0.2">
      <c r="A15" s="110"/>
      <c r="B15" s="148"/>
      <c r="C15" s="200"/>
      <c r="D15" s="148"/>
      <c r="E15" s="148"/>
      <c r="F15" s="197"/>
      <c r="G15" s="190"/>
      <c r="H15" s="194"/>
    </row>
    <row r="16" spans="1:8" x14ac:dyDescent="0.2">
      <c r="A16" s="105" t="s">
        <v>544</v>
      </c>
      <c r="B16" s="148"/>
      <c r="C16" s="200"/>
      <c r="D16" s="148"/>
      <c r="E16" s="148"/>
      <c r="F16" s="197"/>
      <c r="G16" s="190"/>
      <c r="H16" s="194"/>
    </row>
    <row r="17" spans="1:8" x14ac:dyDescent="0.2">
      <c r="A17" s="110"/>
      <c r="B17" s="148"/>
      <c r="C17" s="200"/>
      <c r="D17" s="148"/>
      <c r="E17" s="148"/>
      <c r="F17" s="197"/>
      <c r="G17" s="190"/>
      <c r="H17" s="194"/>
    </row>
    <row r="18" spans="1:8" ht="51" x14ac:dyDescent="0.2">
      <c r="A18" s="110" t="s">
        <v>575</v>
      </c>
      <c r="B18" s="205">
        <v>741110042</v>
      </c>
      <c r="C18" s="206" t="s">
        <v>576</v>
      </c>
      <c r="D18" s="202" t="s">
        <v>203</v>
      </c>
      <c r="E18" s="203">
        <v>1</v>
      </c>
      <c r="F18" s="204"/>
      <c r="G18" s="190">
        <f t="shared" si="0"/>
        <v>0</v>
      </c>
      <c r="H18" s="207" t="s">
        <v>570</v>
      </c>
    </row>
    <row r="19" spans="1:8" ht="51" x14ac:dyDescent="0.2">
      <c r="A19" s="110" t="s">
        <v>577</v>
      </c>
      <c r="B19" s="199">
        <v>741110511</v>
      </c>
      <c r="C19" s="202" t="s">
        <v>578</v>
      </c>
      <c r="D19" s="202" t="s">
        <v>203</v>
      </c>
      <c r="E19" s="203">
        <v>124</v>
      </c>
      <c r="F19" s="204"/>
      <c r="G19" s="190">
        <f t="shared" si="0"/>
        <v>0</v>
      </c>
      <c r="H19" s="198" t="s">
        <v>570</v>
      </c>
    </row>
    <row r="20" spans="1:8" ht="51" x14ac:dyDescent="0.2">
      <c r="A20" s="110" t="s">
        <v>579</v>
      </c>
      <c r="B20" s="208">
        <v>460932111</v>
      </c>
      <c r="C20" s="132" t="s">
        <v>580</v>
      </c>
      <c r="D20" s="209" t="s">
        <v>191</v>
      </c>
      <c r="E20" s="203">
        <v>540</v>
      </c>
      <c r="F20" s="210"/>
      <c r="G20" s="211">
        <f t="shared" si="0"/>
        <v>0</v>
      </c>
      <c r="H20" s="212" t="s">
        <v>570</v>
      </c>
    </row>
    <row r="21" spans="1:8" s="218" customFormat="1" ht="63.75" x14ac:dyDescent="0.2">
      <c r="A21" s="110" t="s">
        <v>581</v>
      </c>
      <c r="B21" s="141">
        <v>741112152</v>
      </c>
      <c r="C21" s="213" t="s">
        <v>582</v>
      </c>
      <c r="D21" s="132" t="s">
        <v>191</v>
      </c>
      <c r="E21" s="214">
        <v>4</v>
      </c>
      <c r="F21" s="215"/>
      <c r="G21" s="216">
        <f t="shared" si="0"/>
        <v>0</v>
      </c>
      <c r="H21" s="217" t="s">
        <v>570</v>
      </c>
    </row>
    <row r="22" spans="1:8" x14ac:dyDescent="0.2">
      <c r="A22" s="110"/>
      <c r="B22" s="108"/>
      <c r="C22" s="219"/>
      <c r="D22" s="108"/>
      <c r="E22" s="108"/>
      <c r="F22" s="220"/>
      <c r="G22" s="211"/>
      <c r="H22" s="221"/>
    </row>
    <row r="23" spans="1:8" x14ac:dyDescent="0.2">
      <c r="A23" s="105" t="s">
        <v>554</v>
      </c>
      <c r="B23" s="113"/>
      <c r="C23" s="222"/>
      <c r="D23" s="108"/>
      <c r="E23" s="108"/>
      <c r="F23" s="220"/>
      <c r="G23" s="211"/>
      <c r="H23" s="217"/>
    </row>
    <row r="24" spans="1:8" x14ac:dyDescent="0.2">
      <c r="A24" s="110"/>
      <c r="B24" s="113"/>
      <c r="C24" s="222"/>
      <c r="D24" s="108"/>
      <c r="E24" s="108"/>
      <c r="F24" s="220"/>
      <c r="G24" s="211"/>
      <c r="H24" s="217"/>
    </row>
    <row r="25" spans="1:8" ht="63.75" x14ac:dyDescent="0.2">
      <c r="A25" s="110" t="s">
        <v>583</v>
      </c>
      <c r="B25" s="141">
        <v>741372062</v>
      </c>
      <c r="C25" s="209" t="s">
        <v>584</v>
      </c>
      <c r="D25" s="125" t="s">
        <v>191</v>
      </c>
      <c r="E25" s="223">
        <v>28</v>
      </c>
      <c r="F25" s="210"/>
      <c r="G25" s="211">
        <f t="shared" si="0"/>
        <v>0</v>
      </c>
      <c r="H25" s="217" t="s">
        <v>570</v>
      </c>
    </row>
    <row r="26" spans="1:8" ht="63.75" x14ac:dyDescent="0.2">
      <c r="A26" s="110" t="s">
        <v>585</v>
      </c>
      <c r="B26" s="141">
        <v>741372061</v>
      </c>
      <c r="C26" s="209" t="s">
        <v>586</v>
      </c>
      <c r="D26" s="224" t="s">
        <v>191</v>
      </c>
      <c r="E26" s="111">
        <v>1</v>
      </c>
      <c r="F26" s="225"/>
      <c r="G26" s="211">
        <f t="shared" si="0"/>
        <v>0</v>
      </c>
      <c r="H26" s="221" t="s">
        <v>570</v>
      </c>
    </row>
    <row r="27" spans="1:8" x14ac:dyDescent="0.2">
      <c r="A27" s="110"/>
      <c r="B27" s="226"/>
      <c r="C27" s="227"/>
      <c r="D27" s="227"/>
      <c r="E27" s="228"/>
      <c r="F27" s="229"/>
      <c r="G27" s="230"/>
      <c r="H27" s="231"/>
    </row>
    <row r="28" spans="1:8" x14ac:dyDescent="0.2">
      <c r="A28" s="105" t="s">
        <v>587</v>
      </c>
      <c r="B28" s="232"/>
      <c r="C28" s="233"/>
      <c r="D28" s="234"/>
      <c r="E28" s="234"/>
      <c r="F28" s="235"/>
      <c r="G28" s="230"/>
      <c r="H28" s="236"/>
    </row>
    <row r="29" spans="1:8" x14ac:dyDescent="0.2">
      <c r="A29" s="110"/>
      <c r="B29" s="232"/>
      <c r="C29" s="233"/>
      <c r="D29" s="234"/>
      <c r="E29" s="234"/>
      <c r="F29" s="235"/>
      <c r="G29" s="230"/>
      <c r="H29" s="236"/>
    </row>
    <row r="30" spans="1:8" ht="51" x14ac:dyDescent="0.2">
      <c r="A30" s="110" t="s">
        <v>588</v>
      </c>
      <c r="B30" s="232" t="s">
        <v>589</v>
      </c>
      <c r="C30" s="233" t="s">
        <v>590</v>
      </c>
      <c r="D30" s="234" t="s">
        <v>591</v>
      </c>
      <c r="E30" s="234">
        <v>24</v>
      </c>
      <c r="F30" s="235"/>
      <c r="G30" s="230">
        <f t="shared" si="0"/>
        <v>0</v>
      </c>
      <c r="H30" s="236" t="s">
        <v>592</v>
      </c>
    </row>
    <row r="31" spans="1:8" x14ac:dyDescent="0.2">
      <c r="A31" s="110"/>
      <c r="B31" s="226"/>
      <c r="C31" s="227"/>
      <c r="D31" s="227"/>
      <c r="E31" s="228"/>
      <c r="F31" s="229"/>
      <c r="G31" s="230"/>
      <c r="H31" s="231"/>
    </row>
    <row r="32" spans="1:8" x14ac:dyDescent="0.2">
      <c r="A32" s="105" t="s">
        <v>562</v>
      </c>
      <c r="B32" s="227"/>
      <c r="C32" s="237"/>
      <c r="D32" s="238"/>
      <c r="E32" s="228"/>
      <c r="F32" s="239"/>
      <c r="G32" s="230"/>
      <c r="H32" s="231"/>
    </row>
    <row r="33" spans="1:8" x14ac:dyDescent="0.2">
      <c r="A33" s="110"/>
      <c r="B33" s="227"/>
      <c r="C33" s="237"/>
      <c r="D33" s="238"/>
      <c r="E33" s="228"/>
      <c r="F33" s="239"/>
      <c r="G33" s="230"/>
      <c r="H33" s="231"/>
    </row>
    <row r="34" spans="1:8" ht="38.25" x14ac:dyDescent="0.2">
      <c r="A34" s="110" t="s">
        <v>593</v>
      </c>
      <c r="B34" s="240" t="s">
        <v>594</v>
      </c>
      <c r="C34" s="241" t="s">
        <v>595</v>
      </c>
      <c r="D34" s="242" t="s">
        <v>591</v>
      </c>
      <c r="E34" s="243">
        <v>8</v>
      </c>
      <c r="F34" s="244"/>
      <c r="G34" s="230">
        <f t="shared" si="0"/>
        <v>0</v>
      </c>
      <c r="H34" s="245" t="s">
        <v>592</v>
      </c>
    </row>
    <row r="35" spans="1:8" x14ac:dyDescent="0.2">
      <c r="A35" s="110"/>
      <c r="B35" s="226"/>
      <c r="C35" s="227"/>
      <c r="D35" s="227"/>
      <c r="E35" s="228"/>
      <c r="F35" s="229"/>
      <c r="G35" s="230"/>
      <c r="H35" s="231"/>
    </row>
    <row r="36" spans="1:8" x14ac:dyDescent="0.2">
      <c r="A36" s="105" t="s">
        <v>562</v>
      </c>
      <c r="B36" s="227"/>
      <c r="C36" s="237"/>
      <c r="D36" s="238"/>
      <c r="E36" s="228"/>
      <c r="F36" s="239"/>
      <c r="G36" s="230"/>
      <c r="H36" s="231"/>
    </row>
    <row r="37" spans="1:8" x14ac:dyDescent="0.2">
      <c r="A37" s="110"/>
      <c r="B37" s="227"/>
      <c r="C37" s="237"/>
      <c r="D37" s="238"/>
      <c r="E37" s="228"/>
      <c r="F37" s="239"/>
      <c r="G37" s="230"/>
      <c r="H37" s="231"/>
    </row>
    <row r="38" spans="1:8" x14ac:dyDescent="0.2">
      <c r="A38" s="110" t="s">
        <v>596</v>
      </c>
      <c r="B38" s="240" t="s">
        <v>597</v>
      </c>
      <c r="C38" s="246" t="s">
        <v>598</v>
      </c>
      <c r="D38" s="247" t="s">
        <v>591</v>
      </c>
      <c r="E38" s="248">
        <v>2</v>
      </c>
      <c r="F38" s="249"/>
      <c r="G38" s="230">
        <f t="shared" si="0"/>
        <v>0</v>
      </c>
      <c r="H38" s="250" t="s">
        <v>592</v>
      </c>
    </row>
    <row r="39" spans="1:8" ht="38.25" x14ac:dyDescent="0.2">
      <c r="A39" s="110" t="s">
        <v>599</v>
      </c>
      <c r="B39" s="240" t="s">
        <v>600</v>
      </c>
      <c r="C39" s="251" t="s">
        <v>601</v>
      </c>
      <c r="D39" s="252" t="s">
        <v>591</v>
      </c>
      <c r="E39" s="253">
        <v>24</v>
      </c>
      <c r="F39" s="254"/>
      <c r="G39" s="211">
        <f t="shared" si="0"/>
        <v>0</v>
      </c>
      <c r="H39" s="221" t="s">
        <v>592</v>
      </c>
    </row>
    <row r="40" spans="1:8" x14ac:dyDescent="0.2">
      <c r="A40" s="110" t="s">
        <v>602</v>
      </c>
      <c r="B40" s="121" t="s">
        <v>603</v>
      </c>
      <c r="C40" s="251" t="s">
        <v>604</v>
      </c>
      <c r="D40" s="255" t="s">
        <v>591</v>
      </c>
      <c r="E40" s="253">
        <v>2</v>
      </c>
      <c r="F40" s="254"/>
      <c r="G40" s="211">
        <f t="shared" si="0"/>
        <v>0</v>
      </c>
      <c r="H40" s="221" t="s">
        <v>592</v>
      </c>
    </row>
    <row r="41" spans="1:8" x14ac:dyDescent="0.2">
      <c r="A41" s="110" t="s">
        <v>605</v>
      </c>
      <c r="B41" s="121" t="s">
        <v>606</v>
      </c>
      <c r="C41" s="256" t="s">
        <v>607</v>
      </c>
      <c r="D41" s="257" t="s">
        <v>591</v>
      </c>
      <c r="E41" s="258">
        <v>32</v>
      </c>
      <c r="F41" s="259"/>
      <c r="G41" s="211">
        <f t="shared" si="0"/>
        <v>0</v>
      </c>
      <c r="H41" s="221" t="s">
        <v>592</v>
      </c>
    </row>
    <row r="42" spans="1:8" ht="51" x14ac:dyDescent="0.2">
      <c r="A42" s="110" t="s">
        <v>608</v>
      </c>
      <c r="B42" s="121">
        <v>741810001</v>
      </c>
      <c r="C42" s="209" t="s">
        <v>609</v>
      </c>
      <c r="D42" s="125" t="s">
        <v>191</v>
      </c>
      <c r="E42" s="111">
        <v>1</v>
      </c>
      <c r="F42" s="260"/>
      <c r="G42" s="211">
        <f t="shared" si="0"/>
        <v>0</v>
      </c>
      <c r="H42" s="261" t="s">
        <v>570</v>
      </c>
    </row>
    <row r="43" spans="1:8" ht="25.5" x14ac:dyDescent="0.2">
      <c r="A43" s="110" t="s">
        <v>610</v>
      </c>
      <c r="B43" s="121">
        <v>741820102</v>
      </c>
      <c r="C43" s="262" t="s">
        <v>611</v>
      </c>
      <c r="D43" s="125" t="s">
        <v>191</v>
      </c>
      <c r="E43" s="223">
        <v>1</v>
      </c>
      <c r="F43" s="254"/>
      <c r="G43" s="211">
        <f t="shared" si="0"/>
        <v>0</v>
      </c>
      <c r="H43" s="217" t="s">
        <v>570</v>
      </c>
    </row>
    <row r="44" spans="1:8" ht="13.5" thickBot="1" x14ac:dyDescent="0.25">
      <c r="A44" s="263"/>
      <c r="B44" s="151"/>
      <c r="C44" s="152"/>
      <c r="D44" s="153"/>
      <c r="E44" s="154"/>
      <c r="F44" s="264"/>
      <c r="G44" s="265"/>
      <c r="H44" s="266"/>
    </row>
    <row r="45" spans="1:8" x14ac:dyDescent="0.2">
      <c r="A45" s="267"/>
      <c r="B45" s="268"/>
      <c r="C45" s="268"/>
      <c r="D45" s="269"/>
      <c r="E45" s="269"/>
      <c r="F45" s="269"/>
      <c r="G45" s="269"/>
      <c r="H45" s="270"/>
    </row>
    <row r="46" spans="1:8" x14ac:dyDescent="0.2">
      <c r="A46" s="271"/>
      <c r="B46" s="272" t="s">
        <v>612</v>
      </c>
      <c r="C46" s="272"/>
      <c r="D46" s="273"/>
      <c r="E46" s="273"/>
      <c r="F46" s="273"/>
      <c r="G46" s="273">
        <f>SUM(G9:G45)</f>
        <v>0</v>
      </c>
      <c r="H46" s="274"/>
    </row>
    <row r="47" spans="1:8" ht="13.5" thickBot="1" x14ac:dyDescent="0.25">
      <c r="A47" s="275"/>
      <c r="B47" s="276"/>
      <c r="C47" s="276"/>
      <c r="D47" s="277"/>
      <c r="E47" s="277"/>
      <c r="F47" s="277"/>
      <c r="G47" s="277"/>
      <c r="H47" s="278"/>
    </row>
  </sheetData>
  <sheetProtection algorithmName="SHA-512" hashValue="QQI3/WrUAJAi2cC6aiLqSkDAo6nb4c+uFyudS8UQiQDFlIa8yq5OSFuVh/eYV28UnypW7ri/ePhAVsTowMXsuQ==" saltValue="8FwtSh4jxfYkwcSPmoBsxA==" spinCount="100000" sheet="1" objects="1" scenarios="1"/>
  <protectedRanges>
    <protectedRange algorithmName="SHA-512" hashValue="GD1KXNNkKEB34sor1Nj3BseGYQRdzo5XUSGcFHTuqRo7yjygVksrazqToA0FjneHE8GMRckcYKAl3todJWBQwA==" saltValue="SE4/c21hcSolzXL40HckkA==" spinCount="100000" sqref="F9:F43" name="Oblast1"/>
  </protectedRanges>
  <pageMargins left="0.7" right="0.7" top="0.78740157499999996" bottom="0.78740157499999996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Krycí list rozpočtu</vt:lpstr>
      <vt:lpstr>VORN</vt:lpstr>
      <vt:lpstr>Rozpočet - podskupiny</vt:lpstr>
      <vt:lpstr>Stavební rozpočet</vt:lpstr>
      <vt:lpstr>Výkaz výměr</vt:lpstr>
      <vt:lpstr>materiál</vt:lpstr>
      <vt:lpstr>montáž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Zdeněk Kratochvíl</cp:lastModifiedBy>
  <dcterms:created xsi:type="dcterms:W3CDTF">2021-06-10T20:06:38Z</dcterms:created>
  <dcterms:modified xsi:type="dcterms:W3CDTF">2025-03-28T09:08:17Z</dcterms:modified>
</cp:coreProperties>
</file>