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9200" yWindow="65521" windowWidth="19245" windowHeight="18075" activeTab="0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  <sheet name="Výkaz výměr" sheetId="6" r:id="rId6"/>
    <sheet name="materiál" sheetId="7" r:id="rId7"/>
    <sheet name="montáž" sheetId="8" r:id="rId8"/>
  </sheets>
  <definedNames>
    <definedName name="vorn_sum">'VORN'!$I$36</definedName>
  </definedNames>
  <calcPr calcId="125725"/>
</workbook>
</file>

<file path=xl/sharedStrings.xml><?xml version="1.0" encoding="utf-8"?>
<sst xmlns="http://schemas.openxmlformats.org/spreadsheetml/2006/main" count="2601" uniqueCount="665">
  <si>
    <t>Svislé a kompletní konstrukce</t>
  </si>
  <si>
    <t>6,15*3,4*2</t>
  </si>
  <si>
    <t>Doba výstavby:</t>
  </si>
  <si>
    <t>Vyvěšení dřevěných a plastových dveřních křídel pl. do 2 m2</t>
  </si>
  <si>
    <t>Projektant</t>
  </si>
  <si>
    <t>67</t>
  </si>
  <si>
    <t>103,11</t>
  </si>
  <si>
    <t>Malby</t>
  </si>
  <si>
    <t>Odpojení a připojení litinových otopných těles po nátěru - 01</t>
  </si>
  <si>
    <t>7,77*2+6,15*2-0,95*2-0,9</t>
  </si>
  <si>
    <t>D.1.1_71_</t>
  </si>
  <si>
    <t>Přesun hmot pro truhlářské konstrukce</t>
  </si>
  <si>
    <t>Demontáž podlah vlysových tl. 24 mm</t>
  </si>
  <si>
    <t>Základ 21%</t>
  </si>
  <si>
    <t>20</t>
  </si>
  <si>
    <t>Dodávka</t>
  </si>
  <si>
    <t>NUS celkem z obj.</t>
  </si>
  <si>
    <t>2.NP</t>
  </si>
  <si>
    <t>998733203R00</t>
  </si>
  <si>
    <t>Dokončovací práce</t>
  </si>
  <si>
    <t>Příčka SDK tl.125 mm,ocel.kce,2x oplášť.,RF 12,5mm, Rw=52 dB, izolace tloušťky 50 mm - S1</t>
  </si>
  <si>
    <t>Malba sádrokarton, bílá, bez penetrace, 2 x</t>
  </si>
  <si>
    <t>Montáž prahů dveří jednokřídlových š. do 10 cm - O3</t>
  </si>
  <si>
    <t>Název stavby:</t>
  </si>
  <si>
    <t>Ostatní materiál</t>
  </si>
  <si>
    <t>48</t>
  </si>
  <si>
    <t>29</t>
  </si>
  <si>
    <t>Č</t>
  </si>
  <si>
    <t>784115712R00</t>
  </si>
  <si>
    <t>17*0,16*0,5*2</t>
  </si>
  <si>
    <t>(0,95+1,97*2)*8+(0,9+1,97*2)*2</t>
  </si>
  <si>
    <t>Poznámka:</t>
  </si>
  <si>
    <t>Lokalita:</t>
  </si>
  <si>
    <t>Izolace</t>
  </si>
  <si>
    <t>71</t>
  </si>
  <si>
    <t>16</t>
  </si>
  <si>
    <t>PSV</t>
  </si>
  <si>
    <t>2.NP - okna</t>
  </si>
  <si>
    <t>24</t>
  </si>
  <si>
    <t>Bez pevné podl.</t>
  </si>
  <si>
    <t>733_</t>
  </si>
  <si>
    <t>Celkem</t>
  </si>
  <si>
    <t>m.č. 203</t>
  </si>
  <si>
    <t>Zařízení staveniště</t>
  </si>
  <si>
    <t>766_</t>
  </si>
  <si>
    <t>Předstěna SDK, tl.65mm, oc.kce CW, 1x RF 12,5mm, izol. tl. 40mm, Rw= 12dB - S2</t>
  </si>
  <si>
    <t>4</t>
  </si>
  <si>
    <t>2,7+11+20,3</t>
  </si>
  <si>
    <t>60</t>
  </si>
  <si>
    <t>Základní rozpočtové náklady</t>
  </si>
  <si>
    <t>1*0,8</t>
  </si>
  <si>
    <t>26</t>
  </si>
  <si>
    <t>Sazba DPH</t>
  </si>
  <si>
    <t>D.1.1_6_</t>
  </si>
  <si>
    <t>733110808R00</t>
  </si>
  <si>
    <t>6,15*3,4*2+2,4*3,4-0,8*1,97</t>
  </si>
  <si>
    <t>Olepování vnitřních ploch, včetně maskovací pásky šířky 30 mm - okna, dveře</t>
  </si>
  <si>
    <t>Celkem bez DPH</t>
  </si>
  <si>
    <t>713102121R00</t>
  </si>
  <si>
    <t>Přesun hmot pro budovy zděné</t>
  </si>
  <si>
    <t>Vedlejší a ostatní rozpočtové náklady</t>
  </si>
  <si>
    <t>284160594</t>
  </si>
  <si>
    <t>m.č. 204</t>
  </si>
  <si>
    <t>Deska izolační kročejová EPS tl. 45 mm</t>
  </si>
  <si>
    <t>537,1399</t>
  </si>
  <si>
    <t>6</t>
  </si>
  <si>
    <t>D.1.1_9_</t>
  </si>
  <si>
    <t>Rozpočtové náklady v Kč</t>
  </si>
  <si>
    <t>68</t>
  </si>
  <si>
    <t>0,5*2*3</t>
  </si>
  <si>
    <t>B</t>
  </si>
  <si>
    <t>Náklady na umístění stavby (NUS)</t>
  </si>
  <si>
    <t>42</t>
  </si>
  <si>
    <t>478,41741*15</t>
  </si>
  <si>
    <t>Montáž</t>
  </si>
  <si>
    <t>Datum, razítko a podpis</t>
  </si>
  <si>
    <t>776_</t>
  </si>
  <si>
    <t>ZRN celkem</t>
  </si>
  <si>
    <t>968072455R00</t>
  </si>
  <si>
    <t>Přípl.k svislé dopr.suti za každé další NP nošením</t>
  </si>
  <si>
    <t>4.NP</t>
  </si>
  <si>
    <t>632441045RT3</t>
  </si>
  <si>
    <t>(1,55+1+3,6+3,06)*2-0,9</t>
  </si>
  <si>
    <t>979990141R00</t>
  </si>
  <si>
    <t>69</t>
  </si>
  <si>
    <t>Poplatek za uložení suti - směs betonu, cihel, dřeva, skupina odpadu 170904</t>
  </si>
  <si>
    <t>Tlaková zkouška otopných těles litinových - vodou</t>
  </si>
  <si>
    <t>33</t>
  </si>
  <si>
    <t>15*0,16*0,9*2</t>
  </si>
  <si>
    <t>Sedláčkova 15, Plzeň</t>
  </si>
  <si>
    <t>78</t>
  </si>
  <si>
    <t>63</t>
  </si>
  <si>
    <t>998766203R00</t>
  </si>
  <si>
    <t>Přesun hmot pro zámečnické konstrukce</t>
  </si>
  <si>
    <t>783_</t>
  </si>
  <si>
    <t>Stěny a příčky</t>
  </si>
  <si>
    <t>D.1.1_76_</t>
  </si>
  <si>
    <t>Konstrukce</t>
  </si>
  <si>
    <t>Architektonicko stavební řešení</t>
  </si>
  <si>
    <t>612401391R00</t>
  </si>
  <si>
    <t>Základna</t>
  </si>
  <si>
    <t>25</t>
  </si>
  <si>
    <t>kus</t>
  </si>
  <si>
    <t>Dodávky</t>
  </si>
  <si>
    <t>342013222RT1</t>
  </si>
  <si>
    <t>735118110R00</t>
  </si>
  <si>
    <t>681,1651</t>
  </si>
  <si>
    <t>soustava</t>
  </si>
  <si>
    <t>1,45*2,13</t>
  </si>
  <si>
    <t>962031113R00</t>
  </si>
  <si>
    <t>Ostatní mat.</t>
  </si>
  <si>
    <t>Cenová</t>
  </si>
  <si>
    <t>Okno pevně zasklené</t>
  </si>
  <si>
    <t>Přesun hmot pro rozvody potrubí</t>
  </si>
  <si>
    <t>Ostatní práce pro nátěry - odmaštění - 01</t>
  </si>
  <si>
    <t>632421198R00</t>
  </si>
  <si>
    <t>HSV prac</t>
  </si>
  <si>
    <t>Oprava omítky na stropech - štuková o ploše do 1 m2</t>
  </si>
  <si>
    <t>767_</t>
  </si>
  <si>
    <t>(4*pi*0,015^2)*(7*1*2+6*0,5*2+2*0,6*2)+(4*pi*0,0254^2)*(3,5*7*2+12*2)</t>
  </si>
  <si>
    <t>3,75*(6,14+13,73)*2-2,4*4-0,9*1,97-0,95*1,97*2+85,6+0,03*26</t>
  </si>
  <si>
    <t>783601813R00</t>
  </si>
  <si>
    <t>M_</t>
  </si>
  <si>
    <t>Výkup kovů - železný šrot tl. nad 4 mm</t>
  </si>
  <si>
    <t>1,5*2,4</t>
  </si>
  <si>
    <t>28376066</t>
  </si>
  <si>
    <t>13</t>
  </si>
  <si>
    <t>766662811R00</t>
  </si>
  <si>
    <t>Zakrytí předmětů, včetně odstranění a dodávky fólie tl. 0,04 mm</t>
  </si>
  <si>
    <t>potrubí</t>
  </si>
  <si>
    <t>"M"</t>
  </si>
  <si>
    <t>Konstrukce doplňkové stavební (zámečnické)</t>
  </si>
  <si>
    <t>VORN celkem z obj.</t>
  </si>
  <si>
    <t>;ztratné 1,1%; 3,0118</t>
  </si>
  <si>
    <t>Krycí list rozpočtu</t>
  </si>
  <si>
    <t>Cena/MJ</t>
  </si>
  <si>
    <t>766661622R00</t>
  </si>
  <si>
    <t>Konec výstavby:</t>
  </si>
  <si>
    <t>Kód</t>
  </si>
  <si>
    <t>43</t>
  </si>
  <si>
    <t>(48,5+50+85,6+55,7)*1,2</t>
  </si>
  <si>
    <t>(2,7+11+20,3)*1,2</t>
  </si>
  <si>
    <t>979951112R00</t>
  </si>
  <si>
    <t>Vnitřní elektoinstalace nn</t>
  </si>
  <si>
    <t>Odstranění PVC lepených s podložkou z ploch nad 20 m2</t>
  </si>
  <si>
    <t>MJ</t>
  </si>
  <si>
    <t>(1,2+2,235)*2-0,9*3</t>
  </si>
  <si>
    <t>Montáž parapetních desek š.do 30 cm,dl.do 100 cm - O1</t>
  </si>
  <si>
    <t>45</t>
  </si>
  <si>
    <t>40</t>
  </si>
  <si>
    <t>784115412R00</t>
  </si>
  <si>
    <t>Celkem ORN</t>
  </si>
  <si>
    <t>Odstranění nátěrů truhlářských - broušení - O3</t>
  </si>
  <si>
    <t>784011211RT2</t>
  </si>
  <si>
    <t>Doplňkové náklady</t>
  </si>
  <si>
    <t>735117110R00</t>
  </si>
  <si>
    <t>Opláštění z SDK,3.str.,do 200x200 mm,RF tl.12,5 mm (ÚT)</t>
  </si>
  <si>
    <t>PSV prac</t>
  </si>
  <si>
    <t>HSV</t>
  </si>
  <si>
    <t>979990161R00</t>
  </si>
  <si>
    <t>Vedlejší rozpočtové náklady VRN</t>
  </si>
  <si>
    <t>m.č. 201</t>
  </si>
  <si>
    <t>9</t>
  </si>
  <si>
    <t>Zaslepení potrubí zkováním a zavařením</t>
  </si>
  <si>
    <t>15</t>
  </si>
  <si>
    <t>766694111R00</t>
  </si>
  <si>
    <t>95</t>
  </si>
  <si>
    <t>ISWORK</t>
  </si>
  <si>
    <t>Celkem včetně DPH</t>
  </si>
  <si>
    <t>Montáž oken jednoduchých,do ocel.kons., do 50 kg - O1</t>
  </si>
  <si>
    <t>Celkem NUS</t>
  </si>
  <si>
    <t>776421100RU1</t>
  </si>
  <si>
    <t>979095312R00</t>
  </si>
  <si>
    <t>Základ 0%</t>
  </si>
  <si>
    <t>15*0,2*1*2+8*0,2*1</t>
  </si>
  <si>
    <t>766</t>
  </si>
  <si>
    <t>52</t>
  </si>
  <si>
    <t>8013</t>
  </si>
  <si>
    <t>51</t>
  </si>
  <si>
    <t>775529010RA0</t>
  </si>
  <si>
    <t>Demontáž prahů dveří 1křídlových - O3</t>
  </si>
  <si>
    <t>Mont prac</t>
  </si>
  <si>
    <t>D.1.4.a_</t>
  </si>
  <si>
    <t>347015112R00</t>
  </si>
  <si>
    <t>44</t>
  </si>
  <si>
    <t>Příplatek k odvozu za každý další 1 km</t>
  </si>
  <si>
    <t>Vyvěšení dřevěných a plastových dveřních křídel pl. nad 2 m2</t>
  </si>
  <si>
    <t>F</t>
  </si>
  <si>
    <t>23</t>
  </si>
  <si>
    <t>RTS II / 2023</t>
  </si>
  <si>
    <t>767</t>
  </si>
  <si>
    <t>(1,55+1+3,6)*(3,06+0,125+2,235)</t>
  </si>
  <si>
    <t>59</t>
  </si>
  <si>
    <t>Demontáž těles otopných litinových článkových - 04</t>
  </si>
  <si>
    <t>t</t>
  </si>
  <si>
    <t> </t>
  </si>
  <si>
    <t>53</t>
  </si>
  <si>
    <t>Konstrukce truhlářské</t>
  </si>
  <si>
    <t>784011221RT2</t>
  </si>
  <si>
    <t>3,5*1*2+4,56*1</t>
  </si>
  <si>
    <t>783201811R00</t>
  </si>
  <si>
    <t>783324140R00</t>
  </si>
  <si>
    <t>650000000VD</t>
  </si>
  <si>
    <t>JKSO:</t>
  </si>
  <si>
    <t>713121111RT1</t>
  </si>
  <si>
    <t>64</t>
  </si>
  <si>
    <t>3,4*0,4</t>
  </si>
  <si>
    <t>784011111R00</t>
  </si>
  <si>
    <t>77</t>
  </si>
  <si>
    <t>Demontáž otopných těles ocelových článkových - 04</t>
  </si>
  <si>
    <t>DN celkem</t>
  </si>
  <si>
    <t>776521200RT1</t>
  </si>
  <si>
    <t>Deska parapetní smrkové dřevo šířka do 200 mm transparentní lak</t>
  </si>
  <si>
    <t>Přesun hmot pro podlahy povlakové</t>
  </si>
  <si>
    <t>13,73*2+6,14*2-0,9-0,95*2</t>
  </si>
  <si>
    <t>27,359</t>
  </si>
  <si>
    <t>GROUPCODE</t>
  </si>
  <si>
    <t>Provozní vlivy</t>
  </si>
  <si>
    <t>5</t>
  </si>
  <si>
    <t>13*0,16*0,5*2+15*0,16*0,5*7+17*0,16*0,5*3+20*0,16*0,5</t>
  </si>
  <si>
    <t>Odstranění nátěrů přebroušením - 01</t>
  </si>
  <si>
    <t>733191917R00</t>
  </si>
  <si>
    <t>786</t>
  </si>
  <si>
    <t>D.1.1_</t>
  </si>
  <si>
    <t>Stavební rozpočet</t>
  </si>
  <si>
    <t>Druh stavby:</t>
  </si>
  <si>
    <t>784</t>
  </si>
  <si>
    <t>96</t>
  </si>
  <si>
    <t>Vybourání kovových dveřních zárubní pl. do 2 m2</t>
  </si>
  <si>
    <t>0,95*1,97*8+0,9*1,97*2</t>
  </si>
  <si>
    <t>Zpracováno dne:</t>
  </si>
  <si>
    <t>735_</t>
  </si>
  <si>
    <t>m.č. 402, 403, 404</t>
  </si>
  <si>
    <t>Přesun hmot pro izolace tepelné</t>
  </si>
  <si>
    <t>968072456R00</t>
  </si>
  <si>
    <t>783</t>
  </si>
  <si>
    <t>998767203R00</t>
  </si>
  <si>
    <t>10</t>
  </si>
  <si>
    <t>m.č. 301</t>
  </si>
  <si>
    <t>58</t>
  </si>
  <si>
    <t>36</t>
  </si>
  <si>
    <t>D.1.1_78_</t>
  </si>
  <si>
    <t>14</t>
  </si>
  <si>
    <t>31</t>
  </si>
  <si>
    <t>Množství</t>
  </si>
  <si>
    <t>38</t>
  </si>
  <si>
    <t>VORN celkem</t>
  </si>
  <si>
    <t>48,5+50+85,6+55,7</t>
  </si>
  <si>
    <t>Malba, bílá, bez penetrace, 2 x</t>
  </si>
  <si>
    <t>61187550</t>
  </si>
  <si>
    <t>95_</t>
  </si>
  <si>
    <t>ZČU v Plzni, Univerzitní 2732/8, Plzeň</t>
  </si>
  <si>
    <t>979990107R00</t>
  </si>
  <si>
    <t>Typ skupiny</t>
  </si>
  <si>
    <t>73</t>
  </si>
  <si>
    <t>Rozpočet je nezávazný. Výkaz výměr, dodávek a prací není ani úplný, ani vyčerpávající. Je souhrnný, tzn. že poskytuje objednateli ucelený přehled o rozsahu a ceně dodávek a prací. Pokud zhotovitel shledá nezbytně nutným doplnit další položky do souhrnného výkazu, pak lze tak učinit pouze se souhlasem zástupce objednatele a na tuto skutečnost pak zhotovitel upozorní.
Nabídku lze odpovědně zpracovat pouze na základě kompletní dokumentace, tzn. průvodní a souhrnné části dokumentace a příslušné textové, výkresové části a výkazů výměru.</t>
  </si>
  <si>
    <t>0,038*(48,5+50+85,6+55,7)</t>
  </si>
  <si>
    <t>0,15*0,9+0,15*0,95</t>
  </si>
  <si>
    <t>3,4*(7,985+6,15)*2-2,4*1,5*3-0,95*1,97*2-0,9*1,97+48,5</t>
  </si>
  <si>
    <t>3,4*(6,15+8,9)*2-2,4*2,4*3-0,95*1,97*2+55,7</t>
  </si>
  <si>
    <t>Úpravy povrchů a osazování výplní otvorů</t>
  </si>
  <si>
    <t>767611211R00</t>
  </si>
  <si>
    <t>Oprášení/ometení podkladu</t>
  </si>
  <si>
    <t>611401311R00</t>
  </si>
  <si>
    <t>61_</t>
  </si>
  <si>
    <t>6,14*(0,835+2,4+0,75)</t>
  </si>
  <si>
    <t>56</t>
  </si>
  <si>
    <t>766695212R00</t>
  </si>
  <si>
    <t>19</t>
  </si>
  <si>
    <t>2,4*2,4*7+2,4*1,5*6</t>
  </si>
  <si>
    <t>C</t>
  </si>
  <si>
    <t>Náklady (Kč)</t>
  </si>
  <si>
    <t>39</t>
  </si>
  <si>
    <t>30</t>
  </si>
  <si>
    <t>m.č. 205</t>
  </si>
  <si>
    <t>IČO/DIČ:</t>
  </si>
  <si>
    <t>(13*0,16*0,5*2+15*0,16*0,5*7+17*0,16*0,5*3+20*0,16*0,5)*2</t>
  </si>
  <si>
    <t>Ostatní</t>
  </si>
  <si>
    <t>979081121R00</t>
  </si>
  <si>
    <t>55</t>
  </si>
  <si>
    <t>Podlahy povlakové</t>
  </si>
  <si>
    <t>786_</t>
  </si>
  <si>
    <t>Zpracoval:</t>
  </si>
  <si>
    <t>76</t>
  </si>
  <si>
    <t>998011003R00</t>
  </si>
  <si>
    <t>Naložení a složení suti</t>
  </si>
  <si>
    <t>Zhotovitel</t>
  </si>
  <si>
    <t>15*0,16*0,9+7*0,16*0,9</t>
  </si>
  <si>
    <t>2.NP - dveře</t>
  </si>
  <si>
    <t>783900090RAB</t>
  </si>
  <si>
    <t>48,5+50+85,6+55,7+4,56*1</t>
  </si>
  <si>
    <t>2</t>
  </si>
  <si>
    <t>Projektant:</t>
  </si>
  <si>
    <t/>
  </si>
  <si>
    <t>965041341R00</t>
  </si>
  <si>
    <t>968061126R00</t>
  </si>
  <si>
    <t>17</t>
  </si>
  <si>
    <t>783103811R00</t>
  </si>
  <si>
    <t>735111810R00</t>
  </si>
  <si>
    <t>m.č. 401</t>
  </si>
  <si>
    <t>M</t>
  </si>
  <si>
    <t>Poplatek za uložení suti - polystyren+omítka, skupina odpadu 170604</t>
  </si>
  <si>
    <t>21</t>
  </si>
  <si>
    <t>Podlahy</t>
  </si>
  <si>
    <t>34_</t>
  </si>
  <si>
    <t>Penetrace podkladu nátěrem 1 x</t>
  </si>
  <si>
    <t>979081111R00</t>
  </si>
  <si>
    <t>Úprava povrchů vnitřní</t>
  </si>
  <si>
    <t>Práce přesčas</t>
  </si>
  <si>
    <t>D.1.1_3_</t>
  </si>
  <si>
    <t>713191100RT9</t>
  </si>
  <si>
    <t>2,4*2,4</t>
  </si>
  <si>
    <t>61</t>
  </si>
  <si>
    <t>Potěr ručně zpracovaný, tl.100mm - vyspravení podlahy</t>
  </si>
  <si>
    <t>12</t>
  </si>
  <si>
    <t>m.č. 202, 203, 204, 205</t>
  </si>
  <si>
    <t>Kulturní památka</t>
  </si>
  <si>
    <t>Odvoz suti a vybour. hmot na skládku do 1 km</t>
  </si>
  <si>
    <t>Objekt</t>
  </si>
  <si>
    <t>Různé dokončovací konstrukce a práce na pozemních stavbách</t>
  </si>
  <si>
    <t>Bourání konstrukcí</t>
  </si>
  <si>
    <t>Otopná tělesa</t>
  </si>
  <si>
    <t>DPH 21%</t>
  </si>
  <si>
    <t>968061125R00</t>
  </si>
  <si>
    <t>Bourání příček z cihel pálených plných</t>
  </si>
  <si>
    <t>Elektroinstalace - viz materiál a montáž</t>
  </si>
  <si>
    <t>0,5*2*2</t>
  </si>
  <si>
    <t>D.1.1_77_</t>
  </si>
  <si>
    <t>784011222RT2</t>
  </si>
  <si>
    <t>4,56*3,5-1,45*2,13</t>
  </si>
  <si>
    <t>kpl</t>
  </si>
  <si>
    <t>Stavební úpravy části objektu ZČU - část 1.</t>
  </si>
  <si>
    <t>Potěr anhydritový, plocha do 500 m2, tl.50 mm</t>
  </si>
  <si>
    <t>49</t>
  </si>
  <si>
    <t>713_</t>
  </si>
  <si>
    <t>Přesuny</t>
  </si>
  <si>
    <t>MAT</t>
  </si>
  <si>
    <t>783222100R00</t>
  </si>
  <si>
    <t>3,4*(6,15+7,77+7,77)-2,4*1,5*3-0,95*1,97*2+50</t>
  </si>
  <si>
    <t>70</t>
  </si>
  <si>
    <t>776</t>
  </si>
  <si>
    <t>8</t>
  </si>
  <si>
    <t>Celkem:</t>
  </si>
  <si>
    <t>Mimostav. doprava</t>
  </si>
  <si>
    <t>Nátěry</t>
  </si>
  <si>
    <t>Podlahovina vinylová zátěžová</t>
  </si>
  <si>
    <t>18</t>
  </si>
  <si>
    <t>DN celkem z obj.</t>
  </si>
  <si>
    <t>46</t>
  </si>
  <si>
    <t>55389110</t>
  </si>
  <si>
    <t>713</t>
  </si>
  <si>
    <t>Demontáž potrubí ocelového závitového</t>
  </si>
  <si>
    <t>2,4*3*7+(2,4+1,5*2)*6</t>
  </si>
  <si>
    <t>Demontáž podhledu</t>
  </si>
  <si>
    <t>D.1.4.a_9_</t>
  </si>
  <si>
    <t>Montáž tepelné izolace podlah na sucho, jednovrstvá</t>
  </si>
  <si>
    <t>50</t>
  </si>
  <si>
    <t>3.NP</t>
  </si>
  <si>
    <t>m</t>
  </si>
  <si>
    <t>784111201R00</t>
  </si>
  <si>
    <t>11</t>
  </si>
  <si>
    <t>Základ 12%</t>
  </si>
  <si>
    <t>32</t>
  </si>
  <si>
    <t>Rozvod potrubí</t>
  </si>
  <si>
    <t>Stavební rozpočet - Jen skupiny</t>
  </si>
  <si>
    <t>Objednatel:</t>
  </si>
  <si>
    <t>0,1*4,56</t>
  </si>
  <si>
    <t>6058,5005</t>
  </si>
  <si>
    <t>PSV mat</t>
  </si>
  <si>
    <t>Izolace tepelné</t>
  </si>
  <si>
    <t>6,15*3,4-0,9*1,97</t>
  </si>
  <si>
    <t>Vybourání kovových dveřních zárubní pl. nad 2 m2</t>
  </si>
  <si>
    <t>Přesun hmot pro otopná tělesa</t>
  </si>
  <si>
    <t>Potřebné množství</t>
  </si>
  <si>
    <t>3</t>
  </si>
  <si>
    <t>m.č. 202</t>
  </si>
  <si>
    <t>784111701R00</t>
  </si>
  <si>
    <t>Zhotovitel:</t>
  </si>
  <si>
    <t>Svislá doprava suti a vybour. hmot za 2.NP nošením</t>
  </si>
  <si>
    <t>3,4</t>
  </si>
  <si>
    <t>998713203R00</t>
  </si>
  <si>
    <t>%</t>
  </si>
  <si>
    <t>m.č. 404</t>
  </si>
  <si>
    <t>96_</t>
  </si>
  <si>
    <t>40,3186</t>
  </si>
  <si>
    <t>998735203R00</t>
  </si>
  <si>
    <t>Lepení povlakových podlah z dílců CV (vinyl)</t>
  </si>
  <si>
    <t>784_</t>
  </si>
  <si>
    <t>35</t>
  </si>
  <si>
    <t>01.03.2024</t>
  </si>
  <si>
    <t>Začátek výstavby:</t>
  </si>
  <si>
    <t>A</t>
  </si>
  <si>
    <t>D+M žaluzie svislá interiérová - O2</t>
  </si>
  <si>
    <t>Mont mat</t>
  </si>
  <si>
    <t>Nátěr lazurovací truhlářských výrobků 2x lakování - O3</t>
  </si>
  <si>
    <t>Odstranění tepelné izolace podlah, volně uložené, z desek minerálních, tl. do 100 mm</t>
  </si>
  <si>
    <t>Zakrytí podlah, včetně odstranění a dodávky papírové lepenky</t>
  </si>
  <si>
    <t>63_</t>
  </si>
  <si>
    <t>Alen Kadlecová</t>
  </si>
  <si>
    <t>54</t>
  </si>
  <si>
    <t>8,9*2+6,15*2-0,95*2</t>
  </si>
  <si>
    <t xml:space="preserve"> </t>
  </si>
  <si>
    <t>(2,235+1,825)*2-0,9</t>
  </si>
  <si>
    <t>Nátěr syntetický kovových konstrukcí dvojnásobný - O3</t>
  </si>
  <si>
    <t>Poplatek za uložení - dřevo, skupina odpadu 170201</t>
  </si>
  <si>
    <t>786620000VD</t>
  </si>
  <si>
    <t>Objednatel</t>
  </si>
  <si>
    <t>Dokončovací práce, demolice</t>
  </si>
  <si>
    <t>57</t>
  </si>
  <si>
    <t>478,41741*2</t>
  </si>
  <si>
    <t>(Kč)</t>
  </si>
  <si>
    <t>22</t>
  </si>
  <si>
    <t>3,4*(1,55+1+3,6+2,235)-0,9*1,97*2-1*0,8</t>
  </si>
  <si>
    <t>Územní vlivy</t>
  </si>
  <si>
    <t>D.1.4.a</t>
  </si>
  <si>
    <t>m3</t>
  </si>
  <si>
    <t>DPH 12%</t>
  </si>
  <si>
    <t>7,985*2+6,15*2-0,95*2-0,9</t>
  </si>
  <si>
    <t>T</t>
  </si>
  <si>
    <t>Datum:</t>
  </si>
  <si>
    <t>27</t>
  </si>
  <si>
    <t>Silnoproudá elektrotechnika</t>
  </si>
  <si>
    <t>37</t>
  </si>
  <si>
    <t>m2</t>
  </si>
  <si>
    <t>41</t>
  </si>
  <si>
    <t>m.č. 402</t>
  </si>
  <si>
    <t>Přesun hmot a sutí</t>
  </si>
  <si>
    <t>NUS z rozpočtu</t>
  </si>
  <si>
    <t>Výkaz výměr</t>
  </si>
  <si>
    <t>1</t>
  </si>
  <si>
    <t>0,9*1,97*4</t>
  </si>
  <si>
    <t>Omítka malých ploch vnitřních stěn do 1 m2 - štuková - oprava</t>
  </si>
  <si>
    <t>7</t>
  </si>
  <si>
    <t>D+M dveří ,1kř. nad 80 cm vč. ocel. zárubně - D1</t>
  </si>
  <si>
    <t>Rozměry</t>
  </si>
  <si>
    <t>735121810R00</t>
  </si>
  <si>
    <t>Položek:</t>
  </si>
  <si>
    <t>NUS celkem</t>
  </si>
  <si>
    <t>Podlahy a podlahové konstrukce</t>
  </si>
  <si>
    <t>(17*0,16*0,5*2)*2</t>
  </si>
  <si>
    <t>WORK</t>
  </si>
  <si>
    <t>Penetrace podkladu nátěrem sádrokarton 1x</t>
  </si>
  <si>
    <t>733</t>
  </si>
  <si>
    <t>Ostatní rozpočtové náklady ORN</t>
  </si>
  <si>
    <t>D.1.1_73_</t>
  </si>
  <si>
    <t>6,14*3,75*2+6,14*3,45-0,8*1,97*2</t>
  </si>
  <si>
    <t>m.č. 202, 203</t>
  </si>
  <si>
    <t>47</t>
  </si>
  <si>
    <t>735</t>
  </si>
  <si>
    <t>HSV mat</t>
  </si>
  <si>
    <t>Kč</t>
  </si>
  <si>
    <t>Položení separační fólie, včetně dodávky PE fólie</t>
  </si>
  <si>
    <t>AIP Plzeň spol. s r.o., Brojova 16, Plzeň</t>
  </si>
  <si>
    <t>Stavební rozpočet - Jen objekty celkem</t>
  </si>
  <si>
    <t>66</t>
  </si>
  <si>
    <t>Lepení podlahových soklíků z vinylu, včetně dodávky soklíku v. 40 mm</t>
  </si>
  <si>
    <t>776511820RT1</t>
  </si>
  <si>
    <t>Celkem VRN</t>
  </si>
  <si>
    <t>m.č. 403</t>
  </si>
  <si>
    <t>Přesun hmot pro budovy zděné výšky do 24 m</t>
  </si>
  <si>
    <t>998776203R00</t>
  </si>
  <si>
    <t>0,038*(1,55+1+3,6)*(3,06+0,125+2,235)</t>
  </si>
  <si>
    <t>979011211R00</t>
  </si>
  <si>
    <t>Ostatní rozpočtové náklady (ORN)</t>
  </si>
  <si>
    <t>979011219R00</t>
  </si>
  <si>
    <t>Celkem DN</t>
  </si>
  <si>
    <t>Bourání lehčených mazanin tl. 38 mm, nad 4 m2</t>
  </si>
  <si>
    <t>Zkrácený popis</t>
  </si>
  <si>
    <t>3,5*4,56-1,45*2,13</t>
  </si>
  <si>
    <t>28</t>
  </si>
  <si>
    <t>D.1.1</t>
  </si>
  <si>
    <t>CELK</t>
  </si>
  <si>
    <t>Ústřední vytápění</t>
  </si>
  <si>
    <t>783626200R00</t>
  </si>
  <si>
    <t>0,9*1,97+0,95*1,97</t>
  </si>
  <si>
    <t>65</t>
  </si>
  <si>
    <t>VATTAX</t>
  </si>
  <si>
    <t>954313102R00</t>
  </si>
  <si>
    <t>34</t>
  </si>
  <si>
    <t>62</t>
  </si>
  <si>
    <t>Doplňkové náklady DN</t>
  </si>
  <si>
    <t>Očištění a odmaštění kovových konstrukcí - O3</t>
  </si>
  <si>
    <t>Čalounické úpravy</t>
  </si>
  <si>
    <t>963016114R00</t>
  </si>
  <si>
    <t>Nátěr syntetický litin. radiátorů Z +1x + 1x email - 01</t>
  </si>
  <si>
    <t>akce:</t>
  </si>
  <si>
    <t>Stavební úpravy  části objektu ZČU Sedláčkova  15, Plzeň,  část 1.</t>
  </si>
  <si>
    <t>část:</t>
  </si>
  <si>
    <t>D.1.4.a  Silnoproudá elektrotechnika</t>
  </si>
  <si>
    <t xml:space="preserve">             materiál</t>
  </si>
  <si>
    <t>pozice</t>
  </si>
  <si>
    <t>č.ceníku</t>
  </si>
  <si>
    <t>popis</t>
  </si>
  <si>
    <t>množství</t>
  </si>
  <si>
    <t>J.cena</t>
  </si>
  <si>
    <t xml:space="preserve">celkem </t>
  </si>
  <si>
    <t>Cenová soustava</t>
  </si>
  <si>
    <t>rozvaděče</t>
  </si>
  <si>
    <t>1.</t>
  </si>
  <si>
    <t>R0001</t>
  </si>
  <si>
    <t xml:space="preserve">Doplnění stávajícího rozvaděče RMOS 4.1 </t>
  </si>
  <si>
    <t>materiál</t>
  </si>
  <si>
    <t>1 ks svodič přepětí B+C 3f</t>
  </si>
  <si>
    <t>1 ks  pojistkový odpínač 3P/20A  6kA</t>
  </si>
  <si>
    <t>4 ks  proudový chránič 2P/16A/30mA 6kA</t>
  </si>
  <si>
    <t>1 ks jistič 10/1/B</t>
  </si>
  <si>
    <t>6 ks jistič 16/1/B</t>
  </si>
  <si>
    <t>Svorky</t>
  </si>
  <si>
    <t>Popisky</t>
  </si>
  <si>
    <t>Materiál nutný ke kompletaci rozvaděče</t>
  </si>
  <si>
    <t>2.</t>
  </si>
  <si>
    <t>R0002</t>
  </si>
  <si>
    <t xml:space="preserve">Doplnění stávajícího rozvaděče RMOS 2.1 </t>
  </si>
  <si>
    <t>1 ks  pojistkový odpínač 3P/16A  6kA</t>
  </si>
  <si>
    <t>3 ks  proudový chránič 2P/16A/30mA 6kA</t>
  </si>
  <si>
    <t>4 ks  proudový chránič 2P/32A/30mA 6kA</t>
  </si>
  <si>
    <t>3 ks jistič 10/1/B</t>
  </si>
  <si>
    <t>12 ks jistič 16/1/B</t>
  </si>
  <si>
    <t>kabely  a  vodiče</t>
  </si>
  <si>
    <t>3.</t>
  </si>
  <si>
    <t>Kabel silový Cu, PVC izolace 450V/2,5kV, -40ºC - +70ºC, CYKY 3Cx1,5 mm2
odolnost proti šíření plamene dle ČSN EN 60332-1</t>
  </si>
  <si>
    <t>4.</t>
  </si>
  <si>
    <t>Kabel silový Cu, PVC izolace 450V/2,5kV, -40ºC - +70ºC, CYKY 3Cx2,5 mm2
odolnost proti šíření plamene dle ČSN EN 60332-1</t>
  </si>
  <si>
    <t>spínače</t>
  </si>
  <si>
    <t>5.</t>
  </si>
  <si>
    <t>Spínač jednopólový pod omítku, 10A/250V, řaz.1 IP20</t>
  </si>
  <si>
    <t>6.</t>
  </si>
  <si>
    <t>Kryt spínače bílý</t>
  </si>
  <si>
    <t>7.</t>
  </si>
  <si>
    <t>Rámeček jednonásobný bílý</t>
  </si>
  <si>
    <t>8.</t>
  </si>
  <si>
    <t>Přepínač sériový pod omítku, 10A/250V, řaz.5 IP20</t>
  </si>
  <si>
    <t>9.</t>
  </si>
  <si>
    <t>Kryt spínače bílý - dělený</t>
  </si>
  <si>
    <t>10.</t>
  </si>
  <si>
    <t>zásuvky</t>
  </si>
  <si>
    <t>11.</t>
  </si>
  <si>
    <t>Zásuvka 2x, 230 V, 16 A, IP20, ochr. clonky, natočená horní zásuvka, bílá</t>
  </si>
  <si>
    <t>12.</t>
  </si>
  <si>
    <t>Zásuvka 2x, 230 V, 16 A, IP20,s přepěťovou ochranou ,,D"</t>
  </si>
  <si>
    <t>13.</t>
  </si>
  <si>
    <t>Zásuvka jednonásobná 16A/230V IP 44</t>
  </si>
  <si>
    <t>montážní  materiál</t>
  </si>
  <si>
    <t>14.</t>
  </si>
  <si>
    <t>Elektroinstalační trubka ohebná do DN 32</t>
  </si>
  <si>
    <t>15.</t>
  </si>
  <si>
    <t xml:space="preserve">Vkládcí elektroinstalační lišta LV 22x20 </t>
  </si>
  <si>
    <t>materilá</t>
  </si>
  <si>
    <t>16.</t>
  </si>
  <si>
    <t>Elektroinstalační lišta  LH 40x40</t>
  </si>
  <si>
    <t>17.</t>
  </si>
  <si>
    <t>Elektroinstalační lišta LH 40x60</t>
  </si>
  <si>
    <t>18.</t>
  </si>
  <si>
    <t>Ocelová nosná konstrukce všeobecně kg</t>
  </si>
  <si>
    <t>kg</t>
  </si>
  <si>
    <t>19.</t>
  </si>
  <si>
    <t>Hmoždinky univerzální 10x60</t>
  </si>
  <si>
    <t>20.</t>
  </si>
  <si>
    <t xml:space="preserve">Krabice přístrojová pod omítku </t>
  </si>
  <si>
    <t>21.</t>
  </si>
  <si>
    <t>Krabice odbočná pod omítku</t>
  </si>
  <si>
    <t>22.</t>
  </si>
  <si>
    <t>Krabice rozvodná pod omítku</t>
  </si>
  <si>
    <t>svítidla včetně světelných zdrojů</t>
  </si>
  <si>
    <t>23.</t>
  </si>
  <si>
    <t>A-1 - Svítidlo  přisazené/závěsné LED panel 36W, IP20 ,  účinnost 110lm/W, index CRI 90, 600x600x9mm,, mikroprizmatický difuzér pro  omezení oslnění UGR&lt;  než 19</t>
  </si>
  <si>
    <t>24.</t>
  </si>
  <si>
    <t>Závěs svítidla  pod stropní žebra l=400mm</t>
  </si>
  <si>
    <t>25.</t>
  </si>
  <si>
    <t>R0003</t>
  </si>
  <si>
    <t>Příplatek za ekolikvidaci svítidla a světelného zdroje</t>
  </si>
  <si>
    <t>ostatní</t>
  </si>
  <si>
    <t>26.</t>
  </si>
  <si>
    <t>Kabelová oka komplet</t>
  </si>
  <si>
    <t>27.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</si>
  <si>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</si>
  <si>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materiál celkem bez DPH</t>
  </si>
  <si>
    <t xml:space="preserve">             montáž</t>
  </si>
  <si>
    <t>28.</t>
  </si>
  <si>
    <t>Montáž přepěťových ochran nn se zapojením vodičů svodiče přepětí – typ 2 čtyřpólových jednodílných</t>
  </si>
  <si>
    <t>CS ÚRS 2024 01</t>
  </si>
  <si>
    <t>29.</t>
  </si>
  <si>
    <t>HZS.001</t>
  </si>
  <si>
    <t>Montáž pojistkového odpínače 3P/16A  6kA</t>
  </si>
  <si>
    <t>hod</t>
  </si>
  <si>
    <t>HZS</t>
  </si>
  <si>
    <t>30.</t>
  </si>
  <si>
    <t>Montáž proudových chráničů se zapojením vodičů dvoupólových nn do 25 A s krytem</t>
  </si>
  <si>
    <t>31.</t>
  </si>
  <si>
    <t xml:space="preserve">Montáž jističů se zapojením vodičů jednopólových nn do 25 A s krytem   </t>
  </si>
  <si>
    <t>32.</t>
  </si>
  <si>
    <t>HZS.002</t>
  </si>
  <si>
    <t>Montáž ostatního drobného elektroinstalačnho materiálu nutného ke kompletaci rozvaděčů</t>
  </si>
  <si>
    <t>33.</t>
  </si>
  <si>
    <t>HZS.003</t>
  </si>
  <si>
    <t>Úpravy ve stávajícím rozvaděči RV</t>
  </si>
  <si>
    <t>34.</t>
  </si>
  <si>
    <t>35.</t>
  </si>
  <si>
    <t>HZS.004</t>
  </si>
  <si>
    <t>36.</t>
  </si>
  <si>
    <t>37.</t>
  </si>
  <si>
    <t>Montáž proudových chráničů se zapojením vodičů dvoupólových nn do 63 A s krytem</t>
  </si>
  <si>
    <t>38.</t>
  </si>
  <si>
    <t>39.</t>
  </si>
  <si>
    <t>HZS.005</t>
  </si>
  <si>
    <t>40.</t>
  </si>
  <si>
    <t>HZS.006</t>
  </si>
  <si>
    <t xml:space="preserve">Úpravy ve stávajícím rozvaděči </t>
  </si>
  <si>
    <t>41.</t>
  </si>
  <si>
    <t xml:space="preserve">Montáž kabelů měděných bez ukončení uložených pod omítkou plných kulatých nebo bezhalogenových (např.CYKY) počtu a průřezu žil 3x2,5 až 6 mm2 </t>
  </si>
  <si>
    <t>42.</t>
  </si>
  <si>
    <t>Montáž kabelů měděných bez ukončení uložených volně nebo v liště plných kulatých nebo bezhalogenových (např. CYKY) počtu a průřezu žil 3x1,5 až 6 mm2</t>
  </si>
  <si>
    <t>ukončení celoplastových kabelů</t>
  </si>
  <si>
    <t>43.</t>
  </si>
  <si>
    <t xml:space="preserve">Ukončení kabelů smršťovací záklopkou nebo páskou se zapojením bez letování, počtu a průřezu žil 3x1,5 až 4 mm2   </t>
  </si>
  <si>
    <t>44.</t>
  </si>
  <si>
    <t>Montáž spínačů jedno nebo dvoupólových polozapuštěných nebo zapuštěných,šroubové připojení,  vypínačů řazení 1 - jednopólových</t>
  </si>
  <si>
    <t>45.</t>
  </si>
  <si>
    <t>Montáž spínačů jedno nebo dvoupólových polozapuštěných nebo zapuštěných, šroubové připojení, přepínačů řazení 5 - sériových</t>
  </si>
  <si>
    <t>46.</t>
  </si>
  <si>
    <t>Montáž zásuvek domovních se zapojením vodičů šroubové připojení polozapuštěných nebo zapuštěných 10/16 A, provedení 2x (2P + PE) dvojnásobná</t>
  </si>
  <si>
    <t>47.</t>
  </si>
  <si>
    <t>Montáž zásuvek průmyslových se zapojením vodičů nástěnných, provedení IP 44 3P+PE 16 A</t>
  </si>
  <si>
    <t>48.</t>
  </si>
  <si>
    <t>Montáž trubek elektroinstalačních s nasunutím nebo našroubováním do krabic plastových ohebných, uložených pevně, vnější Ø přes 23 do 35 mm</t>
  </si>
  <si>
    <t>49.</t>
  </si>
  <si>
    <t>Montáž lišt a kanálků elektroinstalačních se spojkami, ohyby a rohy a s nasunutím do krabic vkládacích s víčkem, šířky do 60 mm</t>
  </si>
  <si>
    <t>50.</t>
  </si>
  <si>
    <t>Montáž se zhotovením konstrukce pro rozvodny z profilů tenkostěnných</t>
  </si>
  <si>
    <t>51.</t>
  </si>
  <si>
    <t xml:space="preserve">Osazení kotevních prvků  hmoždinek včetně vyvrtání otvorů, pro upevnění elektroinstalací ve stěnách cihelných, vnějšího průměru do 8 mm   </t>
  </si>
  <si>
    <t>52.</t>
  </si>
  <si>
    <t xml:space="preserve">Montáž krabic elektroinstalačních bez napojení na trubky a lišty, demontáže a montáže víčka a přístroje přístrojových zapuštěných plastových kruhových </t>
  </si>
  <si>
    <t>53.</t>
  </si>
  <si>
    <t>54.</t>
  </si>
  <si>
    <t>Montáž rozvodek se zapojením na svorkovnici zapuštěných plastových kruhových</t>
  </si>
  <si>
    <t>55.</t>
  </si>
  <si>
    <t>Montáž svítidel s integrovaným zdrojem LED se zapojením vodičů interiérových přisazených stropních hranatých nebo kruhových, plochy od 0,09 do 0,36 m2</t>
  </si>
  <si>
    <t>56.</t>
  </si>
  <si>
    <t>HZS.007</t>
  </si>
  <si>
    <t>Montáž závěsu svítidla  pod stropní žebra l=400mm 18 ks</t>
  </si>
  <si>
    <t>demontáže</t>
  </si>
  <si>
    <t>57.</t>
  </si>
  <si>
    <t>HZS.008</t>
  </si>
  <si>
    <t>Demontáž a likvidace  stávající elektroinstalace v  dotčených prostorách,  případně zakonzervování rozvodů  k  dalšímu   použití</t>
  </si>
  <si>
    <t>58.</t>
  </si>
  <si>
    <t>HZS.009</t>
  </si>
  <si>
    <t>Autorský dozor</t>
  </si>
  <si>
    <t>59.</t>
  </si>
  <si>
    <t>HZS.010</t>
  </si>
  <si>
    <t>Práce nezahrnuté v cenících 21M.46M, zapsané do montážního deníku a potvrzené investorem</t>
  </si>
  <si>
    <t>60.</t>
  </si>
  <si>
    <t>HZS.011</t>
  </si>
  <si>
    <t xml:space="preserve">Zakreslení skutečného stavu </t>
  </si>
  <si>
    <t>61.</t>
  </si>
  <si>
    <t>HZS.012</t>
  </si>
  <si>
    <t xml:space="preserve">Podíl prací jiných profesí než elektro </t>
  </si>
  <si>
    <t>62.</t>
  </si>
  <si>
    <t>HZS.013</t>
  </si>
  <si>
    <t>Koordinace profesí</t>
  </si>
  <si>
    <t>63.</t>
  </si>
  <si>
    <t>Zkoušky a prohlídky elektrických rozvodů a zařízení celková prohlídka a vyhotovení revizní zprávy pro objem montážních prací  do 100 tis. Kč</t>
  </si>
  <si>
    <t>64.</t>
  </si>
  <si>
    <t>Měření osvětlovacího zařízení intenzity osvětlení na pracovišti do 50 svítidel</t>
  </si>
  <si>
    <t>montáž celkem bez DPH</t>
  </si>
</sst>
</file>

<file path=xl/styles.xml><?xml version="1.0" encoding="utf-8"?>
<styleSheet xmlns="http://schemas.openxmlformats.org/spreadsheetml/2006/main">
  <numFmts count="1">
    <numFmt numFmtId="166" formatCode="0;\-0;;@"/>
  </numFmts>
  <fonts count="20"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55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1">
    <xf numFmtId="0" fontId="2" fillId="0" borderId="0" xfId="0" applyNumberFormat="1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2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2" borderId="0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4" fontId="12" fillId="0" borderId="3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3" fillId="2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righ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2" fillId="2" borderId="6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14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0" fillId="2" borderId="6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/>
      <protection/>
    </xf>
    <xf numFmtId="4" fontId="15" fillId="0" borderId="3" xfId="0" applyNumberFormat="1" applyFont="1" applyFill="1" applyBorder="1" applyAlignment="1" applyProtection="1">
      <alignment horizontal="right" vertical="center"/>
      <protection/>
    </xf>
    <xf numFmtId="0" fontId="12" fillId="2" borderId="6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4" fontId="16" fillId="2" borderId="9" xfId="0" applyNumberFormat="1" applyFont="1" applyFill="1" applyBorder="1" applyAlignment="1" applyProtection="1">
      <alignment horizontal="right" vertical="center"/>
      <protection/>
    </xf>
    <xf numFmtId="0" fontId="12" fillId="2" borderId="0" xfId="0" applyNumberFormat="1" applyFont="1" applyFill="1" applyBorder="1" applyAlignment="1" applyProtection="1">
      <alignment horizontal="left" vertical="center"/>
      <protection/>
    </xf>
    <xf numFmtId="4" fontId="14" fillId="0" borderId="5" xfId="0" applyNumberFormat="1" applyFont="1" applyFill="1" applyBorder="1" applyAlignment="1" applyProtection="1">
      <alignment horizontal="right" vertical="center"/>
      <protection/>
    </xf>
    <xf numFmtId="0" fontId="10" fillId="2" borderId="6" xfId="0" applyNumberFormat="1" applyFont="1" applyFill="1" applyBorder="1" applyAlignment="1" applyProtection="1">
      <alignment horizontal="left" vertical="center"/>
      <protection/>
    </xf>
    <xf numFmtId="0" fontId="12" fillId="0" borderId="4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right" vertical="center"/>
      <protection/>
    </xf>
    <xf numFmtId="0" fontId="13" fillId="2" borderId="17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Border="1" applyAlignment="1" applyProtection="1">
      <alignment horizontal="left" vertical="center"/>
      <protection/>
    </xf>
    <xf numFmtId="0" fontId="10" fillId="2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9" xfId="0" applyNumberFormat="1" applyFont="1" applyFill="1" applyBorder="1" applyAlignment="1" applyProtection="1">
      <alignment horizontal="right" vertical="center"/>
      <protection/>
    </xf>
    <xf numFmtId="0" fontId="10" fillId="2" borderId="10" xfId="0" applyNumberFormat="1" applyFont="1" applyFill="1" applyBorder="1" applyAlignment="1" applyProtection="1">
      <alignment horizontal="right" vertical="center"/>
      <protection/>
    </xf>
    <xf numFmtId="4" fontId="14" fillId="0" borderId="9" xfId="0" applyNumberFormat="1" applyFont="1" applyFill="1" applyBorder="1" applyAlignment="1" applyProtection="1">
      <alignment horizontal="right" vertical="center"/>
      <protection/>
    </xf>
    <xf numFmtId="4" fontId="16" fillId="2" borderId="5" xfId="0" applyNumberFormat="1" applyFont="1" applyFill="1" applyBorder="1" applyAlignment="1" applyProtection="1">
      <alignment horizontal="right" vertical="center"/>
      <protection/>
    </xf>
    <xf numFmtId="0" fontId="10" fillId="2" borderId="0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" fontId="10" fillId="2" borderId="0" xfId="0" applyNumberFormat="1" applyFont="1" applyFill="1" applyBorder="1" applyAlignment="1" applyProtection="1">
      <alignment horizontal="right" vertical="center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/>
    </xf>
    <xf numFmtId="0" fontId="10" fillId="2" borderId="0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" fontId="10" fillId="2" borderId="0" xfId="0" applyNumberFormat="1" applyFont="1" applyFill="1" applyBorder="1" applyAlignment="1" applyProtection="1">
      <alignment horizontal="right" vertical="center"/>
      <protection/>
    </xf>
    <xf numFmtId="0" fontId="14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horizontal="righ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20">
      <alignment/>
      <protection/>
    </xf>
    <xf numFmtId="0" fontId="0" fillId="0" borderId="27" xfId="20" applyFont="1" applyBorder="1" applyProtection="1">
      <alignment/>
      <protection locked="0"/>
    </xf>
    <xf numFmtId="0" fontId="0" fillId="0" borderId="28" xfId="20" applyFont="1" applyBorder="1" applyProtection="1">
      <alignment/>
      <protection locked="0"/>
    </xf>
    <xf numFmtId="0" fontId="0" fillId="0" borderId="29" xfId="20" applyFont="1" applyBorder="1" applyAlignment="1" applyProtection="1">
      <alignment wrapText="1"/>
      <protection locked="0"/>
    </xf>
    <xf numFmtId="0" fontId="4" fillId="0" borderId="30" xfId="20" applyFont="1" applyBorder="1" applyProtection="1">
      <alignment/>
      <protection locked="0"/>
    </xf>
    <xf numFmtId="0" fontId="0" fillId="0" borderId="31" xfId="20" applyFont="1" applyBorder="1" applyProtection="1">
      <alignment/>
      <protection locked="0"/>
    </xf>
    <xf numFmtId="0" fontId="0" fillId="0" borderId="32" xfId="20" applyFont="1" applyBorder="1" applyProtection="1">
      <alignment/>
      <protection locked="0"/>
    </xf>
    <xf numFmtId="0" fontId="0" fillId="0" borderId="33" xfId="20" applyFont="1" applyBorder="1" applyAlignment="1" applyProtection="1">
      <alignment wrapText="1"/>
      <protection locked="0"/>
    </xf>
    <xf numFmtId="0" fontId="0" fillId="0" borderId="32" xfId="20" applyFont="1" applyBorder="1" applyAlignment="1" applyProtection="1">
      <alignment horizontal="center"/>
      <protection locked="0"/>
    </xf>
    <xf numFmtId="0" fontId="0" fillId="0" borderId="34" xfId="20" applyFont="1" applyBorder="1" applyAlignment="1" applyProtection="1">
      <alignment horizontal="center" wrapText="1"/>
      <protection locked="0"/>
    </xf>
    <xf numFmtId="0" fontId="5" fillId="0" borderId="35" xfId="20" applyFont="1" applyBorder="1" applyAlignment="1" applyProtection="1">
      <alignment horizontal="left"/>
      <protection locked="0"/>
    </xf>
    <xf numFmtId="0" fontId="3" fillId="0" borderId="27" xfId="20" applyBorder="1" applyProtection="1">
      <alignment/>
      <protection locked="0"/>
    </xf>
    <xf numFmtId="0" fontId="3" fillId="0" borderId="28" xfId="20" applyBorder="1" applyProtection="1">
      <alignment/>
      <protection locked="0"/>
    </xf>
    <xf numFmtId="0" fontId="3" fillId="0" borderId="29" xfId="20" applyBorder="1" applyAlignment="1" applyProtection="1">
      <alignment wrapText="1"/>
      <protection locked="0"/>
    </xf>
    <xf numFmtId="0" fontId="3" fillId="0" borderId="36" xfId="20" applyBorder="1" applyProtection="1">
      <alignment/>
      <protection locked="0"/>
    </xf>
    <xf numFmtId="0" fontId="4" fillId="0" borderId="37" xfId="20" applyFont="1" applyBorder="1" applyProtection="1">
      <alignment/>
      <protection locked="0"/>
    </xf>
    <xf numFmtId="0" fontId="6" fillId="0" borderId="38" xfId="20" applyFont="1" applyBorder="1" applyProtection="1">
      <alignment/>
      <protection locked="0"/>
    </xf>
    <xf numFmtId="0" fontId="3" fillId="0" borderId="39" xfId="20" applyBorder="1" applyProtection="1">
      <alignment/>
      <protection locked="0"/>
    </xf>
    <xf numFmtId="0" fontId="3" fillId="0" borderId="40" xfId="20" applyBorder="1" applyAlignment="1" applyProtection="1">
      <alignment wrapText="1"/>
      <protection locked="0"/>
    </xf>
    <xf numFmtId="0" fontId="4" fillId="0" borderId="41" xfId="20" applyFont="1" applyBorder="1" applyProtection="1">
      <alignment/>
      <protection locked="0"/>
    </xf>
    <xf numFmtId="0" fontId="0" fillId="0" borderId="38" xfId="20" applyFont="1" applyBorder="1" applyProtection="1">
      <alignment/>
      <protection locked="0"/>
    </xf>
    <xf numFmtId="0" fontId="3" fillId="0" borderId="39" xfId="20" applyBorder="1" applyAlignment="1" applyProtection="1">
      <alignment horizontal="center"/>
      <protection locked="0"/>
    </xf>
    <xf numFmtId="0" fontId="0" fillId="0" borderId="39" xfId="20" applyFont="1" applyBorder="1" applyAlignment="1">
      <alignment horizontal="left"/>
      <protection/>
    </xf>
    <xf numFmtId="0" fontId="0" fillId="0" borderId="42" xfId="20" applyFont="1" applyBorder="1" applyAlignment="1">
      <alignment horizontal="left" wrapText="1"/>
      <protection/>
    </xf>
    <xf numFmtId="0" fontId="0" fillId="0" borderId="39" xfId="20" applyFont="1" applyBorder="1">
      <alignment/>
      <protection/>
    </xf>
    <xf numFmtId="0" fontId="7" fillId="0" borderId="39" xfId="20" applyFont="1" applyBorder="1" applyProtection="1">
      <alignment/>
      <protection locked="0"/>
    </xf>
    <xf numFmtId="0" fontId="6" fillId="0" borderId="39" xfId="20" applyFont="1" applyBorder="1">
      <alignment/>
      <protection/>
    </xf>
    <xf numFmtId="0" fontId="8" fillId="0" borderId="41" xfId="20" applyFont="1" applyBorder="1" applyProtection="1">
      <alignment/>
      <protection locked="0"/>
    </xf>
    <xf numFmtId="0" fontId="3" fillId="0" borderId="39" xfId="20" applyBorder="1" applyAlignment="1" applyProtection="1">
      <alignment horizontal="center" wrapText="1"/>
      <protection locked="0"/>
    </xf>
    <xf numFmtId="0" fontId="3" fillId="0" borderId="39" xfId="20" applyBorder="1" applyAlignment="1" applyProtection="1">
      <alignment wrapText="1"/>
      <protection locked="0"/>
    </xf>
    <xf numFmtId="0" fontId="4" fillId="0" borderId="41" xfId="20" applyFont="1" applyBorder="1" applyAlignment="1" applyProtection="1">
      <alignment wrapText="1"/>
      <protection locked="0"/>
    </xf>
    <xf numFmtId="0" fontId="0" fillId="0" borderId="39" xfId="20" applyFont="1" applyBorder="1" applyAlignment="1">
      <alignment horizontal="center"/>
      <protection/>
    </xf>
    <xf numFmtId="0" fontId="3" fillId="0" borderId="39" xfId="20" applyBorder="1" applyAlignment="1">
      <alignment wrapText="1"/>
      <protection/>
    </xf>
    <xf numFmtId="0" fontId="3" fillId="0" borderId="43" xfId="20" applyBorder="1" applyAlignment="1" applyProtection="1">
      <alignment horizontal="left"/>
      <protection locked="0"/>
    </xf>
    <xf numFmtId="0" fontId="0" fillId="0" borderId="39" xfId="20" applyFont="1" applyBorder="1" applyProtection="1">
      <alignment/>
      <protection locked="0"/>
    </xf>
    <xf numFmtId="0" fontId="0" fillId="0" borderId="44" xfId="20" applyFont="1" applyBorder="1" applyAlignment="1">
      <alignment horizontal="center"/>
      <protection/>
    </xf>
    <xf numFmtId="0" fontId="0" fillId="0" borderId="44" xfId="20" applyFont="1" applyBorder="1">
      <alignment/>
      <protection/>
    </xf>
    <xf numFmtId="0" fontId="3" fillId="0" borderId="42" xfId="20" applyBorder="1" applyAlignment="1" applyProtection="1">
      <alignment horizontal="left"/>
      <protection locked="0"/>
    </xf>
    <xf numFmtId="0" fontId="0" fillId="0" borderId="42" xfId="20" applyFont="1" applyBorder="1" applyAlignment="1" applyProtection="1">
      <alignment horizontal="left"/>
      <protection locked="0"/>
    </xf>
    <xf numFmtId="0" fontId="0" fillId="0" borderId="39" xfId="20" applyFont="1" applyBorder="1" applyAlignment="1" applyProtection="1">
      <alignment horizontal="center" wrapText="1"/>
      <protection locked="0"/>
    </xf>
    <xf numFmtId="0" fontId="0" fillId="0" borderId="45" xfId="20" applyFont="1" applyBorder="1" applyAlignment="1">
      <alignment wrapText="1"/>
      <protection/>
    </xf>
    <xf numFmtId="0" fontId="0" fillId="0" borderId="39" xfId="20" applyFont="1" applyBorder="1" applyAlignment="1">
      <alignment wrapText="1"/>
      <protection/>
    </xf>
    <xf numFmtId="0" fontId="0" fillId="0" borderId="46" xfId="20" applyFont="1" applyBorder="1" applyAlignment="1">
      <alignment horizontal="center"/>
      <protection/>
    </xf>
    <xf numFmtId="0" fontId="0" fillId="0" borderId="45" xfId="20" applyFont="1" applyBorder="1">
      <alignment/>
      <protection/>
    </xf>
    <xf numFmtId="0" fontId="0" fillId="0" borderId="39" xfId="20" applyFont="1" applyBorder="1" applyAlignment="1">
      <alignment horizontal="right"/>
      <protection/>
    </xf>
    <xf numFmtId="0" fontId="0" fillId="0" borderId="40" xfId="20" applyFont="1" applyBorder="1" applyAlignment="1">
      <alignment horizontal="right"/>
      <protection/>
    </xf>
    <xf numFmtId="166" fontId="0" fillId="3" borderId="39" xfId="20" applyNumberFormat="1" applyFont="1" applyFill="1" applyBorder="1" applyAlignment="1">
      <alignment wrapText="1"/>
      <protection/>
    </xf>
    <xf numFmtId="0" fontId="3" fillId="0" borderId="44" xfId="20" applyBorder="1" applyProtection="1">
      <alignment/>
      <protection locked="0"/>
    </xf>
    <xf numFmtId="0" fontId="0" fillId="0" borderId="39" xfId="20" applyFont="1" applyBorder="1" applyAlignment="1" applyProtection="1">
      <alignment horizontal="center"/>
      <protection locked="0"/>
    </xf>
    <xf numFmtId="0" fontId="0" fillId="0" borderId="42" xfId="21" applyFont="1" applyBorder="1" applyAlignment="1" applyProtection="1">
      <alignment horizontal="left"/>
      <protection locked="0"/>
    </xf>
    <xf numFmtId="0" fontId="3" fillId="0" borderId="39" xfId="20" applyBorder="1" applyAlignment="1">
      <alignment horizontal="center"/>
      <protection/>
    </xf>
    <xf numFmtId="0" fontId="0" fillId="0" borderId="42" xfId="20" applyFont="1" applyBorder="1" applyProtection="1">
      <alignment/>
      <protection locked="0"/>
    </xf>
    <xf numFmtId="0" fontId="0" fillId="0" borderId="39" xfId="20" applyFont="1" applyBorder="1" applyAlignment="1" applyProtection="1">
      <alignment horizontal="left"/>
      <protection locked="0"/>
    </xf>
    <xf numFmtId="0" fontId="0" fillId="0" borderId="41" xfId="20" applyFont="1" applyBorder="1" applyAlignment="1" applyProtection="1">
      <alignment horizontal="left"/>
      <protection locked="0"/>
    </xf>
    <xf numFmtId="0" fontId="0" fillId="0" borderId="42" xfId="20" applyFont="1" applyBorder="1" applyAlignment="1">
      <alignment wrapText="1"/>
      <protection/>
    </xf>
    <xf numFmtId="0" fontId="0" fillId="0" borderId="42" xfId="20" applyFont="1" applyBorder="1" applyAlignment="1" applyProtection="1">
      <alignment horizontal="right"/>
      <protection locked="0"/>
    </xf>
    <xf numFmtId="0" fontId="0" fillId="0" borderId="44" xfId="20" applyFont="1" applyBorder="1" applyAlignment="1" applyProtection="1">
      <alignment horizontal="center"/>
      <protection locked="0"/>
    </xf>
    <xf numFmtId="0" fontId="0" fillId="0" borderId="44" xfId="20" applyFont="1" applyBorder="1" applyProtection="1">
      <alignment/>
      <protection locked="0"/>
    </xf>
    <xf numFmtId="0" fontId="0" fillId="0" borderId="45" xfId="20" applyFont="1" applyBorder="1" applyAlignment="1" applyProtection="1">
      <alignment horizontal="right"/>
      <protection locked="0"/>
    </xf>
    <xf numFmtId="0" fontId="0" fillId="0" borderId="39" xfId="20" applyFont="1" applyBorder="1" applyAlignment="1">
      <alignment horizontal="left" wrapText="1"/>
      <protection/>
    </xf>
    <xf numFmtId="0" fontId="0" fillId="0" borderId="39" xfId="25" applyFont="1" applyBorder="1" applyAlignment="1">
      <alignment horizontal="center"/>
      <protection/>
    </xf>
    <xf numFmtId="0" fontId="6" fillId="0" borderId="38" xfId="20" applyFont="1" applyBorder="1">
      <alignment/>
      <protection/>
    </xf>
    <xf numFmtId="0" fontId="0" fillId="0" borderId="39" xfId="20" applyFont="1" applyBorder="1" applyAlignment="1">
      <alignment horizontal="center" wrapText="1"/>
      <protection/>
    </xf>
    <xf numFmtId="0" fontId="0" fillId="0" borderId="39" xfId="26" applyFont="1" applyBorder="1" applyAlignment="1">
      <alignment horizontal="right" wrapText="1"/>
      <protection/>
    </xf>
    <xf numFmtId="0" fontId="0" fillId="0" borderId="39" xfId="20" applyFont="1" applyBorder="1" applyAlignment="1" applyProtection="1">
      <alignment wrapText="1"/>
      <protection locked="0"/>
    </xf>
    <xf numFmtId="0" fontId="0" fillId="0" borderId="38" xfId="20" applyFont="1" applyBorder="1">
      <alignment/>
      <protection/>
    </xf>
    <xf numFmtId="0" fontId="0" fillId="0" borderId="44" xfId="20" applyFont="1" applyBorder="1" applyAlignment="1">
      <alignment horizontal="center" wrapText="1"/>
      <protection/>
    </xf>
    <xf numFmtId="0" fontId="0" fillId="0" borderId="39" xfId="23" applyFont="1" applyBorder="1" applyAlignment="1">
      <alignment horizontal="left" wrapText="1"/>
      <protection/>
    </xf>
    <xf numFmtId="0" fontId="1" fillId="0" borderId="47" xfId="22" applyBorder="1" applyAlignment="1">
      <alignment wrapText="1"/>
      <protection/>
    </xf>
    <xf numFmtId="0" fontId="0" fillId="0" borderId="48" xfId="20" applyFont="1" applyBorder="1" applyAlignment="1">
      <alignment horizontal="center" wrapText="1"/>
      <protection/>
    </xf>
    <xf numFmtId="0" fontId="3" fillId="0" borderId="48" xfId="20" applyBorder="1" applyAlignment="1">
      <alignment wrapText="1"/>
      <protection/>
    </xf>
    <xf numFmtId="0" fontId="0" fillId="0" borderId="48" xfId="20" applyFont="1" applyBorder="1" applyAlignment="1">
      <alignment horizontal="left" wrapText="1"/>
      <protection/>
    </xf>
    <xf numFmtId="0" fontId="0" fillId="0" borderId="32" xfId="20" applyFont="1" applyBorder="1" applyAlignment="1">
      <alignment wrapText="1"/>
      <protection/>
    </xf>
    <xf numFmtId="0" fontId="0" fillId="0" borderId="34" xfId="20" applyFont="1" applyBorder="1" applyAlignment="1" applyProtection="1">
      <alignment wrapText="1"/>
      <protection locked="0"/>
    </xf>
    <xf numFmtId="0" fontId="3" fillId="0" borderId="48" xfId="20" applyBorder="1" applyAlignment="1" applyProtection="1">
      <alignment wrapText="1"/>
      <protection locked="0"/>
    </xf>
    <xf numFmtId="0" fontId="9" fillId="0" borderId="49" xfId="20" applyFont="1" applyBorder="1" applyAlignment="1" applyProtection="1">
      <alignment horizontal="right"/>
      <protection locked="0"/>
    </xf>
    <xf numFmtId="0" fontId="1" fillId="0" borderId="50" xfId="24" applyBorder="1">
      <alignment/>
      <protection/>
    </xf>
    <xf numFmtId="0" fontId="1" fillId="0" borderId="29" xfId="24" applyBorder="1">
      <alignment/>
      <protection/>
    </xf>
    <xf numFmtId="0" fontId="1" fillId="0" borderId="29" xfId="24" applyBorder="1" applyAlignment="1">
      <alignment horizontal="right"/>
      <protection/>
    </xf>
    <xf numFmtId="0" fontId="3" fillId="0" borderId="30" xfId="20" applyBorder="1" applyProtection="1">
      <alignment/>
      <protection locked="0"/>
    </xf>
    <xf numFmtId="0" fontId="6" fillId="0" borderId="51" xfId="24" applyFont="1" applyBorder="1">
      <alignment/>
      <protection/>
    </xf>
    <xf numFmtId="0" fontId="6" fillId="0" borderId="0" xfId="24" applyFont="1">
      <alignment/>
      <protection/>
    </xf>
    <xf numFmtId="0" fontId="6" fillId="0" borderId="0" xfId="24" applyFont="1" applyAlignment="1">
      <alignment horizontal="right"/>
      <protection/>
    </xf>
    <xf numFmtId="0" fontId="3" fillId="0" borderId="37" xfId="20" applyBorder="1" applyProtection="1">
      <alignment/>
      <protection locked="0"/>
    </xf>
    <xf numFmtId="0" fontId="1" fillId="0" borderId="52" xfId="24" applyBorder="1">
      <alignment/>
      <protection/>
    </xf>
    <xf numFmtId="0" fontId="1" fillId="0" borderId="33" xfId="24" applyBorder="1">
      <alignment/>
      <protection/>
    </xf>
    <xf numFmtId="0" fontId="1" fillId="0" borderId="33" xfId="24" applyBorder="1" applyAlignment="1">
      <alignment horizontal="right"/>
      <protection/>
    </xf>
    <xf numFmtId="0" fontId="3" fillId="0" borderId="53" xfId="20" applyBorder="1" applyProtection="1">
      <alignment/>
      <protection locked="0"/>
    </xf>
    <xf numFmtId="0" fontId="7" fillId="0" borderId="40" xfId="20" applyFont="1" applyBorder="1" applyAlignment="1" applyProtection="1">
      <alignment wrapText="1"/>
      <protection locked="0"/>
    </xf>
    <xf numFmtId="0" fontId="0" fillId="0" borderId="42" xfId="26" applyFont="1" applyBorder="1" applyAlignment="1">
      <alignment horizontal="right" wrapText="1"/>
      <protection/>
    </xf>
    <xf numFmtId="0" fontId="0" fillId="0" borderId="41" xfId="20" applyFont="1" applyBorder="1" applyAlignment="1" applyProtection="1">
      <alignment horizontal="left" wrapText="1"/>
      <protection locked="0"/>
    </xf>
    <xf numFmtId="0" fontId="0" fillId="0" borderId="46" xfId="20" applyFont="1" applyBorder="1" applyAlignment="1">
      <alignment wrapText="1"/>
      <protection/>
    </xf>
    <xf numFmtId="0" fontId="0" fillId="0" borderId="39" xfId="20" applyFont="1" applyBorder="1" applyAlignment="1" applyProtection="1">
      <alignment horizontal="left" wrapText="1"/>
      <protection locked="0"/>
    </xf>
    <xf numFmtId="0" fontId="1" fillId="0" borderId="54" xfId="24" applyBorder="1" applyAlignment="1">
      <alignment horizontal="center" wrapText="1"/>
      <protection/>
    </xf>
    <xf numFmtId="0" fontId="0" fillId="0" borderId="42" xfId="20" applyFont="1" applyBorder="1" applyAlignment="1" applyProtection="1">
      <alignment horizontal="left" wrapText="1"/>
      <protection locked="0"/>
    </xf>
    <xf numFmtId="0" fontId="3" fillId="0" borderId="42" xfId="20" applyBorder="1" applyProtection="1">
      <alignment/>
      <protection locked="0"/>
    </xf>
    <xf numFmtId="0" fontId="3" fillId="0" borderId="54" xfId="20" applyBorder="1" applyAlignment="1" applyProtection="1">
      <alignment horizontal="left"/>
      <protection locked="0"/>
    </xf>
    <xf numFmtId="0" fontId="0" fillId="0" borderId="44" xfId="20" applyFont="1" applyBorder="1" applyAlignment="1">
      <alignment wrapText="1"/>
      <protection/>
    </xf>
    <xf numFmtId="0" fontId="0" fillId="0" borderId="0" xfId="20" applyFont="1" applyAlignment="1">
      <alignment wrapText="1"/>
      <protection/>
    </xf>
    <xf numFmtId="0" fontId="3" fillId="0" borderId="39" xfId="20" applyBorder="1" applyAlignment="1">
      <alignment horizontal="left" wrapText="1"/>
      <protection/>
    </xf>
    <xf numFmtId="0" fontId="1" fillId="0" borderId="39" xfId="22" applyBorder="1" applyAlignment="1">
      <alignment horizontal="center" wrapText="1"/>
      <protection/>
    </xf>
    <xf numFmtId="0" fontId="0" fillId="0" borderId="42" xfId="20" applyFont="1" applyBorder="1">
      <alignment/>
      <protection/>
    </xf>
    <xf numFmtId="0" fontId="3" fillId="0" borderId="46" xfId="20" applyBorder="1" applyAlignment="1" applyProtection="1">
      <alignment wrapText="1"/>
      <protection locked="0"/>
    </xf>
    <xf numFmtId="0" fontId="3" fillId="0" borderId="46" xfId="20" applyBorder="1" applyProtection="1">
      <alignment/>
      <protection locked="0"/>
    </xf>
    <xf numFmtId="0" fontId="3" fillId="0" borderId="43" xfId="20" applyBorder="1" applyProtection="1">
      <alignment/>
      <protection locked="0"/>
    </xf>
    <xf numFmtId="0" fontId="4" fillId="0" borderId="55" xfId="20" applyFont="1" applyBorder="1" applyProtection="1">
      <alignment/>
      <protection locked="0"/>
    </xf>
    <xf numFmtId="0" fontId="3" fillId="0" borderId="39" xfId="20" applyBorder="1" applyAlignment="1" applyProtection="1">
      <alignment horizontal="left" wrapText="1"/>
      <protection locked="0"/>
    </xf>
    <xf numFmtId="0" fontId="3" fillId="0" borderId="44" xfId="20" applyBorder="1" applyAlignment="1" applyProtection="1">
      <alignment horizontal="left" wrapText="1"/>
      <protection locked="0"/>
    </xf>
    <xf numFmtId="0" fontId="0" fillId="0" borderId="44" xfId="20" applyFont="1" applyBorder="1" applyAlignment="1" applyProtection="1">
      <alignment horizontal="left"/>
      <protection locked="0"/>
    </xf>
    <xf numFmtId="0" fontId="0" fillId="0" borderId="56" xfId="20" applyFont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left" vertical="center" wrapText="1"/>
      <protection/>
    </xf>
    <xf numFmtId="0" fontId="12" fillId="0" borderId="58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5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58" xfId="0" applyNumberFormat="1" applyFont="1" applyFill="1" applyBorder="1" applyAlignment="1" applyProtection="1">
      <alignment horizontal="left" vertical="center" wrapText="1"/>
      <protection/>
    </xf>
    <xf numFmtId="0" fontId="10" fillId="0" borderId="58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9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1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9" xfId="0" applyNumberFormat="1" applyFont="1" applyFill="1" applyBorder="1" applyAlignment="1" applyProtection="1">
      <alignment horizontal="left" vertical="center"/>
      <protection/>
    </xf>
    <xf numFmtId="0" fontId="16" fillId="0" borderId="6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61" xfId="0" applyNumberFormat="1" applyFont="1" applyFill="1" applyBorder="1" applyAlignment="1" applyProtection="1">
      <alignment horizontal="lef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60" xfId="0" applyNumberFormat="1" applyFont="1" applyFill="1" applyBorder="1" applyAlignment="1" applyProtection="1">
      <alignment horizontal="left" vertical="center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6" fillId="2" borderId="61" xfId="0" applyNumberFormat="1" applyFont="1" applyFill="1" applyBorder="1" applyAlignment="1" applyProtection="1">
      <alignment horizontal="left" vertical="center"/>
      <protection/>
    </xf>
    <xf numFmtId="0" fontId="16" fillId="2" borderId="60" xfId="0" applyNumberFormat="1" applyFont="1" applyFill="1" applyBorder="1" applyAlignment="1" applyProtection="1">
      <alignment horizontal="left" vertical="center"/>
      <protection/>
    </xf>
    <xf numFmtId="0" fontId="16" fillId="2" borderId="11" xfId="0" applyNumberFormat="1" applyFont="1" applyFill="1" applyBorder="1" applyAlignment="1" applyProtection="1">
      <alignment horizontal="left" vertical="center"/>
      <protection/>
    </xf>
    <xf numFmtId="0" fontId="16" fillId="2" borderId="3" xfId="0" applyNumberFormat="1" applyFont="1" applyFill="1" applyBorder="1" applyAlignment="1" applyProtection="1">
      <alignment horizontal="left" vertical="center"/>
      <protection/>
    </xf>
    <xf numFmtId="0" fontId="14" fillId="0" borderId="62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left" vertical="center"/>
      <protection/>
    </xf>
    <xf numFmtId="0" fontId="14" fillId="0" borderId="63" xfId="0" applyNumberFormat="1" applyFont="1" applyFill="1" applyBorder="1" applyAlignment="1" applyProtection="1">
      <alignment horizontal="left" vertical="center"/>
      <protection/>
    </xf>
    <xf numFmtId="0" fontId="14" fillId="0" borderId="64" xfId="0" applyNumberFormat="1" applyFont="1" applyFill="1" applyBorder="1" applyAlignment="1" applyProtection="1">
      <alignment horizontal="left" vertical="center"/>
      <protection/>
    </xf>
    <xf numFmtId="0" fontId="14" fillId="0" borderId="65" xfId="0" applyNumberFormat="1" applyFont="1" applyFill="1" applyBorder="1" applyAlignment="1" applyProtection="1">
      <alignment horizontal="left" vertical="center"/>
      <protection/>
    </xf>
    <xf numFmtId="0" fontId="14" fillId="0" borderId="66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67" xfId="0" applyNumberFormat="1" applyFont="1" applyFill="1" applyBorder="1" applyAlignment="1" applyProtection="1">
      <alignment horizontal="left" vertical="center"/>
      <protection/>
    </xf>
    <xf numFmtId="0" fontId="10" fillId="0" borderId="68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69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69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16" fillId="0" borderId="1" xfId="0" applyNumberFormat="1" applyFont="1" applyFill="1" applyBorder="1" applyAlignment="1" applyProtection="1">
      <alignment horizontal="left" vertical="center"/>
      <protection/>
    </xf>
    <xf numFmtId="4" fontId="16" fillId="0" borderId="26" xfId="0" applyNumberFormat="1" applyFont="1" applyFill="1" applyBorder="1" applyAlignment="1" applyProtection="1">
      <alignment horizontal="right" vertical="center"/>
      <protection/>
    </xf>
    <xf numFmtId="0" fontId="16" fillId="0" borderId="26" xfId="0" applyNumberFormat="1" applyFont="1" applyFill="1" applyBorder="1" applyAlignment="1" applyProtection="1">
      <alignment horizontal="right" vertical="center"/>
      <protection/>
    </xf>
    <xf numFmtId="0" fontId="16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3" xfId="0" applyNumberFormat="1" applyFont="1" applyFill="1" applyBorder="1" applyAlignment="1" applyProtection="1">
      <alignment horizontal="left" vertical="center"/>
      <protection/>
    </xf>
    <xf numFmtId="0" fontId="0" fillId="0" borderId="70" xfId="20" applyFont="1" applyBorder="1" applyAlignment="1" applyProtection="1">
      <alignment horizont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1" xfId="21"/>
    <cellStyle name="normální 2" xfId="22"/>
    <cellStyle name="normální 21" xfId="23"/>
    <cellStyle name="normální 4" xfId="24"/>
    <cellStyle name="normální 8" xfId="25"/>
    <cellStyle name="normální_SK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0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0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30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409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512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614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workbookViewId="0" topLeftCell="A1">
      <selection activeCell="I15" sqref="I1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89" t="s">
        <v>134</v>
      </c>
      <c r="B1" s="190"/>
      <c r="C1" s="190"/>
      <c r="D1" s="190"/>
      <c r="E1" s="190"/>
      <c r="F1" s="190"/>
      <c r="G1" s="190"/>
      <c r="H1" s="190"/>
      <c r="I1" s="190"/>
    </row>
    <row r="2" spans="1:9" ht="15" customHeight="1">
      <c r="A2" s="191" t="s">
        <v>23</v>
      </c>
      <c r="B2" s="192"/>
      <c r="C2" s="200" t="str">
        <f>'Stavební rozpočet'!C2</f>
        <v>Stavební úpravy části objektu ZČU - část 1.</v>
      </c>
      <c r="D2" s="201"/>
      <c r="E2" s="198" t="s">
        <v>365</v>
      </c>
      <c r="F2" s="198" t="str">
        <f>'Stavební rozpočet'!I2</f>
        <v>ZČU v Plzni, Univerzitní 2732/8, Plzeň</v>
      </c>
      <c r="G2" s="192"/>
      <c r="H2" s="198" t="s">
        <v>275</v>
      </c>
      <c r="I2" s="203" t="s">
        <v>293</v>
      </c>
    </row>
    <row r="3" spans="1:9" ht="15" customHeight="1">
      <c r="A3" s="193"/>
      <c r="B3" s="194"/>
      <c r="C3" s="202"/>
      <c r="D3" s="202"/>
      <c r="E3" s="194"/>
      <c r="F3" s="194"/>
      <c r="G3" s="194"/>
      <c r="H3" s="194"/>
      <c r="I3" s="204"/>
    </row>
    <row r="4" spans="1:9" ht="15" customHeight="1">
      <c r="A4" s="195" t="s">
        <v>225</v>
      </c>
      <c r="B4" s="194"/>
      <c r="C4" s="199" t="str">
        <f>'Stavební rozpočet'!C4</f>
        <v xml:space="preserve"> </v>
      </c>
      <c r="D4" s="194"/>
      <c r="E4" s="199" t="s">
        <v>292</v>
      </c>
      <c r="F4" s="199" t="str">
        <f>'Stavební rozpočet'!I4</f>
        <v>AIP Plzeň spol. s r.o., Brojova 16, Plzeň</v>
      </c>
      <c r="G4" s="194"/>
      <c r="H4" s="199" t="s">
        <v>275</v>
      </c>
      <c r="I4" s="204" t="s">
        <v>293</v>
      </c>
    </row>
    <row r="5" spans="1:9" ht="15" customHeight="1">
      <c r="A5" s="193"/>
      <c r="B5" s="194"/>
      <c r="C5" s="194"/>
      <c r="D5" s="194"/>
      <c r="E5" s="194"/>
      <c r="F5" s="194"/>
      <c r="G5" s="194"/>
      <c r="H5" s="194"/>
      <c r="I5" s="204"/>
    </row>
    <row r="6" spans="1:9" ht="15" customHeight="1">
      <c r="A6" s="195" t="s">
        <v>32</v>
      </c>
      <c r="B6" s="194"/>
      <c r="C6" s="199" t="str">
        <f>'Stavební rozpočet'!C6</f>
        <v>Sedláčkova 15, Plzeň</v>
      </c>
      <c r="D6" s="194"/>
      <c r="E6" s="199" t="s">
        <v>377</v>
      </c>
      <c r="F6" s="199" t="str">
        <f>'Stavební rozpočet'!I6</f>
        <v> </v>
      </c>
      <c r="G6" s="194"/>
      <c r="H6" s="199" t="s">
        <v>275</v>
      </c>
      <c r="I6" s="204" t="s">
        <v>293</v>
      </c>
    </row>
    <row r="7" spans="1:9" ht="15" customHeight="1">
      <c r="A7" s="193"/>
      <c r="B7" s="194"/>
      <c r="C7" s="194"/>
      <c r="D7" s="194"/>
      <c r="E7" s="194"/>
      <c r="F7" s="194"/>
      <c r="G7" s="194"/>
      <c r="H7" s="194"/>
      <c r="I7" s="204"/>
    </row>
    <row r="8" spans="1:9" ht="15" customHeight="1">
      <c r="A8" s="195" t="s">
        <v>390</v>
      </c>
      <c r="B8" s="194"/>
      <c r="C8" s="199" t="str">
        <f>'Stavební rozpočet'!G4</f>
        <v xml:space="preserve"> </v>
      </c>
      <c r="D8" s="194"/>
      <c r="E8" s="199" t="s">
        <v>137</v>
      </c>
      <c r="F8" s="199" t="str">
        <f>'Stavební rozpočet'!G6</f>
        <v xml:space="preserve"> </v>
      </c>
      <c r="G8" s="194"/>
      <c r="H8" s="194" t="s">
        <v>436</v>
      </c>
      <c r="I8" s="205">
        <v>70</v>
      </c>
    </row>
    <row r="9" spans="1:9" ht="15" customHeight="1">
      <c r="A9" s="193"/>
      <c r="B9" s="194"/>
      <c r="C9" s="194"/>
      <c r="D9" s="194"/>
      <c r="E9" s="194"/>
      <c r="F9" s="194"/>
      <c r="G9" s="194"/>
      <c r="H9" s="194"/>
      <c r="I9" s="204"/>
    </row>
    <row r="10" spans="1:9" ht="15" customHeight="1">
      <c r="A10" s="195" t="s">
        <v>203</v>
      </c>
      <c r="B10" s="194"/>
      <c r="C10" s="199" t="str">
        <f>'Stavební rozpočet'!C8</f>
        <v>8013</v>
      </c>
      <c r="D10" s="194"/>
      <c r="E10" s="199" t="s">
        <v>282</v>
      </c>
      <c r="F10" s="199" t="str">
        <f>'Stavební rozpočet'!I8</f>
        <v>Alen Kadlecová</v>
      </c>
      <c r="G10" s="194"/>
      <c r="H10" s="194" t="s">
        <v>419</v>
      </c>
      <c r="I10" s="206" t="str">
        <f>'Stavební rozpočet'!G8</f>
        <v>01.03.2024</v>
      </c>
    </row>
    <row r="11" spans="1:9" ht="15" customHeight="1">
      <c r="A11" s="196"/>
      <c r="B11" s="197"/>
      <c r="C11" s="197"/>
      <c r="D11" s="197"/>
      <c r="E11" s="197"/>
      <c r="F11" s="197"/>
      <c r="G11" s="197"/>
      <c r="H11" s="197"/>
      <c r="I11" s="207"/>
    </row>
    <row r="12" spans="1:9" ht="22.5" customHeight="1">
      <c r="A12" s="208" t="s">
        <v>67</v>
      </c>
      <c r="B12" s="208"/>
      <c r="C12" s="208"/>
      <c r="D12" s="208"/>
      <c r="E12" s="208"/>
      <c r="F12" s="208"/>
      <c r="G12" s="208"/>
      <c r="H12" s="208"/>
      <c r="I12" s="208"/>
    </row>
    <row r="13" spans="1:9" ht="26.25" customHeight="1">
      <c r="A13" s="47" t="s">
        <v>391</v>
      </c>
      <c r="B13" s="209" t="s">
        <v>49</v>
      </c>
      <c r="C13" s="210"/>
      <c r="D13" s="11" t="s">
        <v>70</v>
      </c>
      <c r="E13" s="209" t="s">
        <v>154</v>
      </c>
      <c r="F13" s="210"/>
      <c r="G13" s="11" t="s">
        <v>270</v>
      </c>
      <c r="H13" s="209" t="s">
        <v>71</v>
      </c>
      <c r="I13" s="210"/>
    </row>
    <row r="14" spans="1:9" ht="15" customHeight="1">
      <c r="A14" s="53" t="s">
        <v>158</v>
      </c>
      <c r="B14" s="32" t="s">
        <v>103</v>
      </c>
      <c r="C14" s="59">
        <f>SUM('Stavební rozpočet'!X12:X98)</f>
        <v>0</v>
      </c>
      <c r="D14" s="217" t="s">
        <v>308</v>
      </c>
      <c r="E14" s="218"/>
      <c r="F14" s="59">
        <f>VORN!I15</f>
        <v>0</v>
      </c>
      <c r="G14" s="217" t="s">
        <v>43</v>
      </c>
      <c r="H14" s="218"/>
      <c r="I14" s="59">
        <f>VORN!I21</f>
        <v>0</v>
      </c>
    </row>
    <row r="15" spans="1:9" ht="15" customHeight="1">
      <c r="A15" s="62" t="s">
        <v>293</v>
      </c>
      <c r="B15" s="32" t="s">
        <v>74</v>
      </c>
      <c r="C15" s="59">
        <f>SUM('Stavební rozpočet'!Y12:Y98)</f>
        <v>0</v>
      </c>
      <c r="D15" s="217" t="s">
        <v>39</v>
      </c>
      <c r="E15" s="218"/>
      <c r="F15" s="59">
        <f>VORN!I16</f>
        <v>0</v>
      </c>
      <c r="G15" s="217" t="s">
        <v>343</v>
      </c>
      <c r="H15" s="218"/>
      <c r="I15" s="59">
        <f>VORN!I22</f>
        <v>0</v>
      </c>
    </row>
    <row r="16" spans="1:9" ht="15" customHeight="1">
      <c r="A16" s="53" t="s">
        <v>36</v>
      </c>
      <c r="B16" s="32" t="s">
        <v>103</v>
      </c>
      <c r="C16" s="59">
        <f>SUM('Stavební rozpočet'!Z12:Z98)</f>
        <v>0</v>
      </c>
      <c r="D16" s="217" t="s">
        <v>316</v>
      </c>
      <c r="E16" s="218"/>
      <c r="F16" s="59">
        <f>VORN!I17</f>
        <v>0</v>
      </c>
      <c r="G16" s="217" t="s">
        <v>413</v>
      </c>
      <c r="H16" s="218"/>
      <c r="I16" s="59">
        <f>VORN!I23</f>
        <v>0</v>
      </c>
    </row>
    <row r="17" spans="1:9" ht="15" customHeight="1">
      <c r="A17" s="62" t="s">
        <v>293</v>
      </c>
      <c r="B17" s="32" t="s">
        <v>74</v>
      </c>
      <c r="C17" s="59">
        <f>SUM('Stavební rozpočet'!AA12:AA98)</f>
        <v>0</v>
      </c>
      <c r="D17" s="217" t="s">
        <v>293</v>
      </c>
      <c r="E17" s="218"/>
      <c r="F17" s="75" t="s">
        <v>293</v>
      </c>
      <c r="G17" s="217" t="s">
        <v>217</v>
      </c>
      <c r="H17" s="218"/>
      <c r="I17" s="59">
        <f>VORN!I24</f>
        <v>0</v>
      </c>
    </row>
    <row r="18" spans="1:9" ht="15" customHeight="1">
      <c r="A18" s="53" t="s">
        <v>130</v>
      </c>
      <c r="B18" s="32" t="s">
        <v>103</v>
      </c>
      <c r="C18" s="59">
        <f>SUM('Stavební rozpočet'!AB12:AB98)</f>
        <v>0</v>
      </c>
      <c r="D18" s="217" t="s">
        <v>293</v>
      </c>
      <c r="E18" s="218"/>
      <c r="F18" s="75" t="s">
        <v>293</v>
      </c>
      <c r="G18" s="217" t="s">
        <v>277</v>
      </c>
      <c r="H18" s="218"/>
      <c r="I18" s="59">
        <f>VORN!I25</f>
        <v>0</v>
      </c>
    </row>
    <row r="19" spans="1:9" ht="15" customHeight="1">
      <c r="A19" s="62" t="s">
        <v>293</v>
      </c>
      <c r="B19" s="32" t="s">
        <v>74</v>
      </c>
      <c r="C19" s="59">
        <f>SUM('Stavební rozpočet'!AC12:AC98)</f>
        <v>0</v>
      </c>
      <c r="D19" s="217" t="s">
        <v>293</v>
      </c>
      <c r="E19" s="218"/>
      <c r="F19" s="75" t="s">
        <v>293</v>
      </c>
      <c r="G19" s="217" t="s">
        <v>427</v>
      </c>
      <c r="H19" s="218"/>
      <c r="I19" s="59">
        <f>VORN!I26</f>
        <v>0</v>
      </c>
    </row>
    <row r="20" spans="1:9" ht="15" customHeight="1">
      <c r="A20" s="211" t="s">
        <v>24</v>
      </c>
      <c r="B20" s="212"/>
      <c r="C20" s="59">
        <f>SUM('Stavební rozpočet'!AD12:AD98)</f>
        <v>0</v>
      </c>
      <c r="D20" s="217" t="s">
        <v>293</v>
      </c>
      <c r="E20" s="218"/>
      <c r="F20" s="75" t="s">
        <v>293</v>
      </c>
      <c r="G20" s="217" t="s">
        <v>293</v>
      </c>
      <c r="H20" s="218"/>
      <c r="I20" s="75" t="s">
        <v>293</v>
      </c>
    </row>
    <row r="21" spans="1:9" ht="15" customHeight="1">
      <c r="A21" s="213" t="s">
        <v>426</v>
      </c>
      <c r="B21" s="214"/>
      <c r="C21" s="70">
        <f>SUM('Stavební rozpočet'!V12:V98)</f>
        <v>0</v>
      </c>
      <c r="D21" s="219" t="s">
        <v>293</v>
      </c>
      <c r="E21" s="220"/>
      <c r="F21" s="16" t="s">
        <v>293</v>
      </c>
      <c r="G21" s="219" t="s">
        <v>293</v>
      </c>
      <c r="H21" s="220"/>
      <c r="I21" s="16" t="s">
        <v>293</v>
      </c>
    </row>
    <row r="22" spans="1:9" ht="16.5" customHeight="1">
      <c r="A22" s="215" t="s">
        <v>77</v>
      </c>
      <c r="B22" s="216"/>
      <c r="C22" s="43">
        <f>SUM(C14:C21)</f>
        <v>0</v>
      </c>
      <c r="D22" s="221" t="s">
        <v>210</v>
      </c>
      <c r="E22" s="216"/>
      <c r="F22" s="43">
        <f>SUM(F14:F21)</f>
        <v>0</v>
      </c>
      <c r="G22" s="221" t="s">
        <v>437</v>
      </c>
      <c r="H22" s="216"/>
      <c r="I22" s="43">
        <f>SUM(I14:I21)</f>
        <v>0</v>
      </c>
    </row>
    <row r="23" spans="4:9" ht="15" customHeight="1">
      <c r="D23" s="211" t="s">
        <v>347</v>
      </c>
      <c r="E23" s="212"/>
      <c r="F23" s="30">
        <v>0</v>
      </c>
      <c r="G23" s="222" t="s">
        <v>16</v>
      </c>
      <c r="H23" s="212"/>
      <c r="I23" s="59">
        <v>0</v>
      </c>
    </row>
    <row r="24" spans="7:9" ht="15" customHeight="1">
      <c r="G24" s="211" t="s">
        <v>246</v>
      </c>
      <c r="H24" s="212"/>
      <c r="I24" s="59">
        <f>vorn_sum</f>
        <v>0</v>
      </c>
    </row>
    <row r="25" spans="7:9" ht="15" customHeight="1">
      <c r="G25" s="211" t="s">
        <v>132</v>
      </c>
      <c r="H25" s="212"/>
      <c r="I25" s="59">
        <v>0</v>
      </c>
    </row>
    <row r="27" spans="1:3" ht="15" customHeight="1">
      <c r="A27" s="223" t="s">
        <v>173</v>
      </c>
      <c r="B27" s="224"/>
      <c r="C27" s="60">
        <f>SUM('Stavební rozpočet'!AF12:AF98)</f>
        <v>0</v>
      </c>
    </row>
    <row r="28" spans="1:9" ht="15" customHeight="1">
      <c r="A28" s="225" t="s">
        <v>361</v>
      </c>
      <c r="B28" s="226"/>
      <c r="C28" s="41">
        <f>SUM('Stavební rozpočet'!AG12:AG98)</f>
        <v>0</v>
      </c>
      <c r="D28" s="224" t="s">
        <v>416</v>
      </c>
      <c r="E28" s="224"/>
      <c r="F28" s="60">
        <f>ROUND(C28*(12/100),2)</f>
        <v>0</v>
      </c>
      <c r="G28" s="224" t="s">
        <v>57</v>
      </c>
      <c r="H28" s="224"/>
      <c r="I28" s="60">
        <f>SUM(C27:C29)</f>
        <v>0</v>
      </c>
    </row>
    <row r="29" spans="1:9" ht="15" customHeight="1">
      <c r="A29" s="225" t="s">
        <v>13</v>
      </c>
      <c r="B29" s="226"/>
      <c r="C29" s="41">
        <f>SUM('Stavební rozpočet'!AH12:AH98)+(F22+I22+F23+I23+I24+I25)</f>
        <v>0</v>
      </c>
      <c r="D29" s="226" t="s">
        <v>322</v>
      </c>
      <c r="E29" s="226"/>
      <c r="F29" s="41">
        <f>ROUND(C29*(21/100),2)</f>
        <v>0</v>
      </c>
      <c r="G29" s="226" t="s">
        <v>168</v>
      </c>
      <c r="H29" s="226"/>
      <c r="I29" s="41">
        <f>SUM(F28:F29)+I28</f>
        <v>0</v>
      </c>
    </row>
    <row r="31" spans="1:9" ht="15" customHeight="1">
      <c r="A31" s="233" t="s">
        <v>4</v>
      </c>
      <c r="B31" s="230"/>
      <c r="C31" s="231"/>
      <c r="D31" s="230" t="s">
        <v>406</v>
      </c>
      <c r="E31" s="230"/>
      <c r="F31" s="231"/>
      <c r="G31" s="230" t="s">
        <v>286</v>
      </c>
      <c r="H31" s="230"/>
      <c r="I31" s="231"/>
    </row>
    <row r="32" spans="1:9" ht="15" customHeight="1">
      <c r="A32" s="234" t="s">
        <v>293</v>
      </c>
      <c r="B32" s="219"/>
      <c r="C32" s="232"/>
      <c r="D32" s="219" t="s">
        <v>293</v>
      </c>
      <c r="E32" s="219"/>
      <c r="F32" s="232"/>
      <c r="G32" s="219" t="s">
        <v>293</v>
      </c>
      <c r="H32" s="219"/>
      <c r="I32" s="232"/>
    </row>
    <row r="33" spans="1:9" ht="15" customHeight="1">
      <c r="A33" s="234" t="s">
        <v>293</v>
      </c>
      <c r="B33" s="219"/>
      <c r="C33" s="232"/>
      <c r="D33" s="219" t="s">
        <v>293</v>
      </c>
      <c r="E33" s="219"/>
      <c r="F33" s="232"/>
      <c r="G33" s="219" t="s">
        <v>293</v>
      </c>
      <c r="H33" s="219"/>
      <c r="I33" s="232"/>
    </row>
    <row r="34" spans="1:9" ht="15" customHeight="1">
      <c r="A34" s="234" t="s">
        <v>293</v>
      </c>
      <c r="B34" s="219"/>
      <c r="C34" s="232"/>
      <c r="D34" s="219" t="s">
        <v>293</v>
      </c>
      <c r="E34" s="219"/>
      <c r="F34" s="232"/>
      <c r="G34" s="219" t="s">
        <v>293</v>
      </c>
      <c r="H34" s="219"/>
      <c r="I34" s="232"/>
    </row>
    <row r="35" spans="1:9" ht="15" customHeight="1">
      <c r="A35" s="227" t="s">
        <v>75</v>
      </c>
      <c r="B35" s="228"/>
      <c r="C35" s="229"/>
      <c r="D35" s="228" t="s">
        <v>75</v>
      </c>
      <c r="E35" s="228"/>
      <c r="F35" s="229"/>
      <c r="G35" s="228" t="s">
        <v>75</v>
      </c>
      <c r="H35" s="228"/>
      <c r="I35" s="229"/>
    </row>
    <row r="36" ht="15" customHeight="1">
      <c r="A36" s="2" t="s">
        <v>31</v>
      </c>
    </row>
    <row r="37" spans="1:9" ht="54" customHeight="1">
      <c r="A37" s="199" t="s">
        <v>255</v>
      </c>
      <c r="B37" s="194"/>
      <c r="C37" s="194"/>
      <c r="D37" s="194"/>
      <c r="E37" s="194"/>
      <c r="F37" s="194"/>
      <c r="G37" s="194"/>
      <c r="H37" s="194"/>
      <c r="I37" s="194"/>
    </row>
  </sheetData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0" copies="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workbookViewId="0" topLeftCell="A1">
      <selection activeCell="F23" sqref="F23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89" t="s">
        <v>60</v>
      </c>
      <c r="B1" s="190"/>
      <c r="C1" s="190"/>
      <c r="D1" s="190"/>
      <c r="E1" s="190"/>
      <c r="F1" s="190"/>
      <c r="G1" s="190"/>
      <c r="H1" s="190"/>
      <c r="I1" s="190"/>
    </row>
    <row r="2" spans="1:9" ht="15" customHeight="1">
      <c r="A2" s="191" t="s">
        <v>23</v>
      </c>
      <c r="B2" s="192"/>
      <c r="C2" s="200" t="str">
        <f>'Stavební rozpočet'!C2</f>
        <v>Stavební úpravy části objektu ZČU - část 1.</v>
      </c>
      <c r="D2" s="201"/>
      <c r="E2" s="198" t="s">
        <v>365</v>
      </c>
      <c r="F2" s="198" t="str">
        <f>'Stavební rozpočet'!I2</f>
        <v>ZČU v Plzni, Univerzitní 2732/8, Plzeň</v>
      </c>
      <c r="G2" s="192"/>
      <c r="H2" s="198" t="s">
        <v>275</v>
      </c>
      <c r="I2" s="203" t="s">
        <v>293</v>
      </c>
    </row>
    <row r="3" spans="1:9" ht="15" customHeight="1">
      <c r="A3" s="193"/>
      <c r="B3" s="194"/>
      <c r="C3" s="202"/>
      <c r="D3" s="202"/>
      <c r="E3" s="194"/>
      <c r="F3" s="194"/>
      <c r="G3" s="194"/>
      <c r="H3" s="194"/>
      <c r="I3" s="204"/>
    </row>
    <row r="4" spans="1:9" ht="15" customHeight="1">
      <c r="A4" s="195" t="s">
        <v>225</v>
      </c>
      <c r="B4" s="194"/>
      <c r="C4" s="199" t="str">
        <f>'Stavební rozpočet'!C4</f>
        <v xml:space="preserve"> </v>
      </c>
      <c r="D4" s="194"/>
      <c r="E4" s="199" t="s">
        <v>292</v>
      </c>
      <c r="F4" s="199" t="str">
        <f>'Stavební rozpočet'!I4</f>
        <v>AIP Plzeň spol. s r.o., Brojova 16, Plzeň</v>
      </c>
      <c r="G4" s="194"/>
      <c r="H4" s="199" t="s">
        <v>275</v>
      </c>
      <c r="I4" s="204" t="s">
        <v>293</v>
      </c>
    </row>
    <row r="5" spans="1:9" ht="15" customHeight="1">
      <c r="A5" s="193"/>
      <c r="B5" s="194"/>
      <c r="C5" s="194"/>
      <c r="D5" s="194"/>
      <c r="E5" s="194"/>
      <c r="F5" s="194"/>
      <c r="G5" s="194"/>
      <c r="H5" s="194"/>
      <c r="I5" s="204"/>
    </row>
    <row r="6" spans="1:9" ht="15" customHeight="1">
      <c r="A6" s="195" t="s">
        <v>32</v>
      </c>
      <c r="B6" s="194"/>
      <c r="C6" s="199" t="str">
        <f>'Stavební rozpočet'!C6</f>
        <v>Sedláčkova 15, Plzeň</v>
      </c>
      <c r="D6" s="194"/>
      <c r="E6" s="199" t="s">
        <v>377</v>
      </c>
      <c r="F6" s="199" t="str">
        <f>'Stavební rozpočet'!I6</f>
        <v> </v>
      </c>
      <c r="G6" s="194"/>
      <c r="H6" s="199" t="s">
        <v>275</v>
      </c>
      <c r="I6" s="204" t="s">
        <v>293</v>
      </c>
    </row>
    <row r="7" spans="1:9" ht="15" customHeight="1">
      <c r="A7" s="193"/>
      <c r="B7" s="194"/>
      <c r="C7" s="194"/>
      <c r="D7" s="194"/>
      <c r="E7" s="194"/>
      <c r="F7" s="194"/>
      <c r="G7" s="194"/>
      <c r="H7" s="194"/>
      <c r="I7" s="204"/>
    </row>
    <row r="8" spans="1:9" ht="15" customHeight="1">
      <c r="A8" s="195" t="s">
        <v>390</v>
      </c>
      <c r="B8" s="194"/>
      <c r="C8" s="199" t="str">
        <f>'Stavební rozpočet'!G4</f>
        <v xml:space="preserve"> </v>
      </c>
      <c r="D8" s="194"/>
      <c r="E8" s="199" t="s">
        <v>137</v>
      </c>
      <c r="F8" s="199" t="str">
        <f>'Stavební rozpočet'!G6</f>
        <v xml:space="preserve"> </v>
      </c>
      <c r="G8" s="194"/>
      <c r="H8" s="194" t="s">
        <v>436</v>
      </c>
      <c r="I8" s="205">
        <v>70</v>
      </c>
    </row>
    <row r="9" spans="1:9" ht="15" customHeight="1">
      <c r="A9" s="193"/>
      <c r="B9" s="194"/>
      <c r="C9" s="194"/>
      <c r="D9" s="194"/>
      <c r="E9" s="194"/>
      <c r="F9" s="194"/>
      <c r="G9" s="194"/>
      <c r="H9" s="194"/>
      <c r="I9" s="204"/>
    </row>
    <row r="10" spans="1:9" ht="15" customHeight="1">
      <c r="A10" s="195" t="s">
        <v>203</v>
      </c>
      <c r="B10" s="194"/>
      <c r="C10" s="199" t="str">
        <f>'Stavební rozpočet'!C8</f>
        <v>8013</v>
      </c>
      <c r="D10" s="194"/>
      <c r="E10" s="199" t="s">
        <v>282</v>
      </c>
      <c r="F10" s="199" t="str">
        <f>'Stavební rozpočet'!I8</f>
        <v>Alen Kadlecová</v>
      </c>
      <c r="G10" s="194"/>
      <c r="H10" s="194" t="s">
        <v>419</v>
      </c>
      <c r="I10" s="206" t="str">
        <f>'Stavební rozpočet'!G8</f>
        <v>01.03.2024</v>
      </c>
    </row>
    <row r="11" spans="1:9" ht="15" customHeight="1">
      <c r="A11" s="196"/>
      <c r="B11" s="197"/>
      <c r="C11" s="197"/>
      <c r="D11" s="197"/>
      <c r="E11" s="197"/>
      <c r="F11" s="197"/>
      <c r="G11" s="197"/>
      <c r="H11" s="197"/>
      <c r="I11" s="207"/>
    </row>
    <row r="13" spans="1:5" ht="15.75" customHeight="1">
      <c r="A13" s="235" t="s">
        <v>160</v>
      </c>
      <c r="B13" s="235"/>
      <c r="C13" s="235"/>
      <c r="D13" s="235"/>
      <c r="E13" s="235"/>
    </row>
    <row r="14" spans="1:9" ht="15" customHeight="1">
      <c r="A14" s="236" t="s">
        <v>480</v>
      </c>
      <c r="B14" s="237"/>
      <c r="C14" s="237"/>
      <c r="D14" s="237"/>
      <c r="E14" s="238"/>
      <c r="F14" s="14" t="s">
        <v>450</v>
      </c>
      <c r="G14" s="14" t="s">
        <v>381</v>
      </c>
      <c r="H14" s="14" t="s">
        <v>100</v>
      </c>
      <c r="I14" s="14" t="s">
        <v>450</v>
      </c>
    </row>
    <row r="15" spans="1:9" ht="15" customHeight="1">
      <c r="A15" s="196" t="s">
        <v>308</v>
      </c>
      <c r="B15" s="197"/>
      <c r="C15" s="197"/>
      <c r="D15" s="197"/>
      <c r="E15" s="207"/>
      <c r="F15" s="57">
        <v>0</v>
      </c>
      <c r="G15" s="15" t="s">
        <v>293</v>
      </c>
      <c r="H15" s="15" t="s">
        <v>293</v>
      </c>
      <c r="I15" s="57">
        <f>F15</f>
        <v>0</v>
      </c>
    </row>
    <row r="16" spans="1:9" ht="15" customHeight="1">
      <c r="A16" s="196" t="s">
        <v>39</v>
      </c>
      <c r="B16" s="197"/>
      <c r="C16" s="197"/>
      <c r="D16" s="197"/>
      <c r="E16" s="207"/>
      <c r="F16" s="57">
        <v>0</v>
      </c>
      <c r="G16" s="15" t="s">
        <v>293</v>
      </c>
      <c r="H16" s="15" t="s">
        <v>293</v>
      </c>
      <c r="I16" s="57">
        <f>F16</f>
        <v>0</v>
      </c>
    </row>
    <row r="17" spans="1:9" ht="15" customHeight="1">
      <c r="A17" s="193" t="s">
        <v>316</v>
      </c>
      <c r="B17" s="194"/>
      <c r="C17" s="194"/>
      <c r="D17" s="194"/>
      <c r="E17" s="204"/>
      <c r="F17" s="29">
        <v>0</v>
      </c>
      <c r="G17" s="39" t="s">
        <v>293</v>
      </c>
      <c r="H17" s="39" t="s">
        <v>293</v>
      </c>
      <c r="I17" s="29">
        <f>F17</f>
        <v>0</v>
      </c>
    </row>
    <row r="18" spans="1:9" ht="15" customHeight="1">
      <c r="A18" s="239" t="s">
        <v>465</v>
      </c>
      <c r="B18" s="240"/>
      <c r="C18" s="240"/>
      <c r="D18" s="240"/>
      <c r="E18" s="241"/>
      <c r="F18" s="20" t="s">
        <v>293</v>
      </c>
      <c r="G18" s="51" t="s">
        <v>293</v>
      </c>
      <c r="H18" s="51" t="s">
        <v>293</v>
      </c>
      <c r="I18" s="1">
        <f>SUM(I15:I17)</f>
        <v>0</v>
      </c>
    </row>
    <row r="20" spans="1:9" ht="15" customHeight="1">
      <c r="A20" s="236" t="s">
        <v>71</v>
      </c>
      <c r="B20" s="237"/>
      <c r="C20" s="237"/>
      <c r="D20" s="237"/>
      <c r="E20" s="238"/>
      <c r="F20" s="14" t="s">
        <v>450</v>
      </c>
      <c r="G20" s="14" t="s">
        <v>381</v>
      </c>
      <c r="H20" s="14" t="s">
        <v>100</v>
      </c>
      <c r="I20" s="14" t="s">
        <v>450</v>
      </c>
    </row>
    <row r="21" spans="1:9" ht="15" customHeight="1">
      <c r="A21" s="196" t="s">
        <v>43</v>
      </c>
      <c r="B21" s="197"/>
      <c r="C21" s="197"/>
      <c r="D21" s="197"/>
      <c r="E21" s="207"/>
      <c r="F21" s="15" t="s">
        <v>293</v>
      </c>
      <c r="G21" s="57">
        <v>3.5</v>
      </c>
      <c r="H21" s="57">
        <f>'Krycí list rozpočtu'!C22</f>
        <v>0</v>
      </c>
      <c r="I21" s="57">
        <f>ROUND((G21/100)*H21,2)</f>
        <v>0</v>
      </c>
    </row>
    <row r="22" spans="1:9" ht="15" customHeight="1">
      <c r="A22" s="196" t="s">
        <v>343</v>
      </c>
      <c r="B22" s="197"/>
      <c r="C22" s="197"/>
      <c r="D22" s="197"/>
      <c r="E22" s="207"/>
      <c r="F22" s="57">
        <v>0</v>
      </c>
      <c r="G22" s="15" t="s">
        <v>293</v>
      </c>
      <c r="H22" s="15" t="s">
        <v>293</v>
      </c>
      <c r="I22" s="57">
        <f>F22</f>
        <v>0</v>
      </c>
    </row>
    <row r="23" spans="1:9" ht="15" customHeight="1">
      <c r="A23" s="196" t="s">
        <v>413</v>
      </c>
      <c r="B23" s="197"/>
      <c r="C23" s="197"/>
      <c r="D23" s="197"/>
      <c r="E23" s="207"/>
      <c r="F23" s="57">
        <v>0</v>
      </c>
      <c r="G23" s="15" t="s">
        <v>293</v>
      </c>
      <c r="H23" s="15" t="s">
        <v>293</v>
      </c>
      <c r="I23" s="57">
        <f>F23</f>
        <v>0</v>
      </c>
    </row>
    <row r="24" spans="1:9" ht="15" customHeight="1">
      <c r="A24" s="196" t="s">
        <v>217</v>
      </c>
      <c r="B24" s="197"/>
      <c r="C24" s="197"/>
      <c r="D24" s="197"/>
      <c r="E24" s="207"/>
      <c r="F24" s="57">
        <v>0</v>
      </c>
      <c r="G24" s="15" t="s">
        <v>293</v>
      </c>
      <c r="H24" s="15" t="s">
        <v>293</v>
      </c>
      <c r="I24" s="57">
        <f>F24</f>
        <v>0</v>
      </c>
    </row>
    <row r="25" spans="1:9" ht="15" customHeight="1">
      <c r="A25" s="196" t="s">
        <v>277</v>
      </c>
      <c r="B25" s="197"/>
      <c r="C25" s="197"/>
      <c r="D25" s="197"/>
      <c r="E25" s="207"/>
      <c r="F25" s="57">
        <v>0</v>
      </c>
      <c r="G25" s="15" t="s">
        <v>293</v>
      </c>
      <c r="H25" s="15" t="s">
        <v>293</v>
      </c>
      <c r="I25" s="57">
        <f>F25</f>
        <v>0</v>
      </c>
    </row>
    <row r="26" spans="1:9" ht="15" customHeight="1">
      <c r="A26" s="193" t="s">
        <v>427</v>
      </c>
      <c r="B26" s="194"/>
      <c r="C26" s="194"/>
      <c r="D26" s="194"/>
      <c r="E26" s="204"/>
      <c r="F26" s="29">
        <v>0</v>
      </c>
      <c r="G26" s="39" t="s">
        <v>293</v>
      </c>
      <c r="H26" s="39" t="s">
        <v>293</v>
      </c>
      <c r="I26" s="29">
        <f>F26</f>
        <v>0</v>
      </c>
    </row>
    <row r="27" spans="1:9" ht="15" customHeight="1">
      <c r="A27" s="239" t="s">
        <v>170</v>
      </c>
      <c r="B27" s="240"/>
      <c r="C27" s="240"/>
      <c r="D27" s="240"/>
      <c r="E27" s="241"/>
      <c r="F27" s="20" t="s">
        <v>293</v>
      </c>
      <c r="G27" s="51" t="s">
        <v>293</v>
      </c>
      <c r="H27" s="51" t="s">
        <v>293</v>
      </c>
      <c r="I27" s="1">
        <f>SUM(I21:I26)</f>
        <v>0</v>
      </c>
    </row>
    <row r="29" spans="1:9" ht="15.75" customHeight="1">
      <c r="A29" s="242" t="s">
        <v>457</v>
      </c>
      <c r="B29" s="243"/>
      <c r="C29" s="243"/>
      <c r="D29" s="243"/>
      <c r="E29" s="244"/>
      <c r="F29" s="245">
        <f>I18+I27</f>
        <v>0</v>
      </c>
      <c r="G29" s="246"/>
      <c r="H29" s="246"/>
      <c r="I29" s="247"/>
    </row>
    <row r="33" spans="1:5" ht="15.75" customHeight="1">
      <c r="A33" s="235" t="s">
        <v>443</v>
      </c>
      <c r="B33" s="235"/>
      <c r="C33" s="235"/>
      <c r="D33" s="235"/>
      <c r="E33" s="235"/>
    </row>
    <row r="34" spans="1:9" ht="15" customHeight="1">
      <c r="A34" s="236" t="s">
        <v>463</v>
      </c>
      <c r="B34" s="237"/>
      <c r="C34" s="237"/>
      <c r="D34" s="237"/>
      <c r="E34" s="238"/>
      <c r="F34" s="14" t="s">
        <v>450</v>
      </c>
      <c r="G34" s="14" t="s">
        <v>381</v>
      </c>
      <c r="H34" s="14" t="s">
        <v>100</v>
      </c>
      <c r="I34" s="14" t="s">
        <v>450</v>
      </c>
    </row>
    <row r="35" spans="1:9" ht="15" customHeight="1">
      <c r="A35" s="193" t="s">
        <v>293</v>
      </c>
      <c r="B35" s="194"/>
      <c r="C35" s="194"/>
      <c r="D35" s="194"/>
      <c r="E35" s="204"/>
      <c r="F35" s="29">
        <v>0</v>
      </c>
      <c r="G35" s="39" t="s">
        <v>293</v>
      </c>
      <c r="H35" s="39" t="s">
        <v>293</v>
      </c>
      <c r="I35" s="29">
        <f>F35</f>
        <v>0</v>
      </c>
    </row>
    <row r="36" spans="1:9" ht="15" customHeight="1">
      <c r="A36" s="239" t="s">
        <v>151</v>
      </c>
      <c r="B36" s="240"/>
      <c r="C36" s="240"/>
      <c r="D36" s="240"/>
      <c r="E36" s="241"/>
      <c r="F36" s="20" t="s">
        <v>293</v>
      </c>
      <c r="G36" s="51" t="s">
        <v>293</v>
      </c>
      <c r="H36" s="51" t="s">
        <v>293</v>
      </c>
      <c r="I36" s="1">
        <f>SUM(I35:I35)</f>
        <v>0</v>
      </c>
    </row>
  </sheetData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F10:G11"/>
    <mergeCell ref="E10:E11"/>
    <mergeCell ref="I2:I3"/>
    <mergeCell ref="I4:I5"/>
    <mergeCell ref="I6:I7"/>
    <mergeCell ref="I8:I9"/>
    <mergeCell ref="I10:I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OutlineSymbols="0" zoomScale="85" zoomScaleNormal="85" workbookViewId="0" topLeftCell="A1">
      <pane ySplit="11" topLeftCell="A12" activePane="bottomLeft" state="frozen"/>
      <selection pane="topLeft" activeCell="A16" sqref="A16:L16"/>
      <selection pane="bottomLeft" activeCell="J30" sqref="J30"/>
    </sheetView>
  </sheetViews>
  <sheetFormatPr defaultColWidth="14.16015625" defaultRowHeight="15" customHeight="1"/>
  <cols>
    <col min="1" max="1" width="8.83203125" style="0" customWidth="1"/>
    <col min="2" max="8" width="18.33203125" style="0" customWidth="1"/>
    <col min="9" max="11" width="16.66015625" style="0" customWidth="1"/>
    <col min="12" max="15" width="14.16015625" style="0" hidden="1" customWidth="1"/>
  </cols>
  <sheetData>
    <row r="1" spans="1:11" ht="54.75" customHeight="1">
      <c r="A1" s="190" t="s">
        <v>453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" customHeight="1">
      <c r="A2" s="191" t="s">
        <v>23</v>
      </c>
      <c r="B2" s="192"/>
      <c r="C2" s="192"/>
      <c r="D2" s="200" t="str">
        <f>'Stavební rozpočet'!C2</f>
        <v>Stavební úpravy části objektu ZČU - část 1.</v>
      </c>
      <c r="E2" s="201"/>
      <c r="F2" s="201"/>
      <c r="G2" s="198" t="s">
        <v>2</v>
      </c>
      <c r="H2" s="198" t="str">
        <f>'Stavební rozpočet'!G2</f>
        <v xml:space="preserve"> </v>
      </c>
      <c r="I2" s="198" t="s">
        <v>365</v>
      </c>
      <c r="J2" s="198" t="str">
        <f>'Stavební rozpočet'!I2</f>
        <v>ZČU v Plzni, Univerzitní 2732/8, Plzeň</v>
      </c>
      <c r="K2" s="192"/>
    </row>
    <row r="3" spans="1:11" ht="15" customHeight="1">
      <c r="A3" s="193"/>
      <c r="B3" s="194"/>
      <c r="C3" s="194"/>
      <c r="D3" s="202"/>
      <c r="E3" s="202"/>
      <c r="F3" s="202"/>
      <c r="G3" s="194"/>
      <c r="H3" s="194"/>
      <c r="I3" s="194"/>
      <c r="J3" s="194"/>
      <c r="K3" s="194"/>
    </row>
    <row r="4" spans="1:11" ht="15" customHeight="1">
      <c r="A4" s="195" t="s">
        <v>225</v>
      </c>
      <c r="B4" s="194"/>
      <c r="C4" s="194"/>
      <c r="D4" s="199" t="str">
        <f>'Stavební rozpočet'!C4</f>
        <v xml:space="preserve"> </v>
      </c>
      <c r="E4" s="194"/>
      <c r="F4" s="194"/>
      <c r="G4" s="199" t="s">
        <v>390</v>
      </c>
      <c r="H4" s="199" t="str">
        <f>'Stavební rozpočet'!G4</f>
        <v xml:space="preserve"> </v>
      </c>
      <c r="I4" s="199" t="s">
        <v>292</v>
      </c>
      <c r="J4" s="199" t="str">
        <f>'Stavební rozpočet'!I4</f>
        <v>AIP Plzeň spol. s r.o., Brojova 16, Plzeň</v>
      </c>
      <c r="K4" s="194"/>
    </row>
    <row r="5" spans="1:11" ht="15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customHeight="1">
      <c r="A6" s="195" t="s">
        <v>32</v>
      </c>
      <c r="B6" s="194"/>
      <c r="C6" s="194"/>
      <c r="D6" s="199" t="str">
        <f>'Stavební rozpočet'!C6</f>
        <v>Sedláčkova 15, Plzeň</v>
      </c>
      <c r="E6" s="194"/>
      <c r="F6" s="194"/>
      <c r="G6" s="199" t="s">
        <v>137</v>
      </c>
      <c r="H6" s="199" t="str">
        <f>'Stavební rozpočet'!G6</f>
        <v xml:space="preserve"> </v>
      </c>
      <c r="I6" s="199" t="s">
        <v>377</v>
      </c>
      <c r="J6" s="199" t="str">
        <f>'Stavební rozpočet'!I6</f>
        <v> </v>
      </c>
      <c r="K6" s="194"/>
    </row>
    <row r="7" spans="1:11" ht="15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5" customHeight="1">
      <c r="A8" s="195" t="s">
        <v>203</v>
      </c>
      <c r="B8" s="194"/>
      <c r="C8" s="194"/>
      <c r="D8" s="199" t="str">
        <f>'Stavební rozpočet'!C8</f>
        <v>8013</v>
      </c>
      <c r="E8" s="194"/>
      <c r="F8" s="194"/>
      <c r="G8" s="199" t="s">
        <v>230</v>
      </c>
      <c r="H8" s="199" t="str">
        <f>'Stavební rozpočet'!G8</f>
        <v>01.03.2024</v>
      </c>
      <c r="I8" s="199" t="s">
        <v>282</v>
      </c>
      <c r="J8" s="199" t="str">
        <f>'Stavební rozpočet'!I8</f>
        <v>Alen Kadlecová</v>
      </c>
      <c r="K8" s="194"/>
    </row>
    <row r="9" spans="1:11" ht="15" customHeigh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5" customHeight="1">
      <c r="A10" s="45" t="s">
        <v>401</v>
      </c>
      <c r="B10" s="248" t="s">
        <v>401</v>
      </c>
      <c r="C10" s="248"/>
      <c r="D10" s="248"/>
      <c r="E10" s="248"/>
      <c r="F10" s="248"/>
      <c r="G10" s="248"/>
      <c r="H10" s="248"/>
      <c r="I10" s="250" t="s">
        <v>271</v>
      </c>
      <c r="J10" s="251"/>
      <c r="K10" s="252"/>
    </row>
    <row r="11" spans="1:11" ht="15" customHeight="1">
      <c r="A11" s="28" t="s">
        <v>318</v>
      </c>
      <c r="B11" s="249" t="s">
        <v>467</v>
      </c>
      <c r="C11" s="249"/>
      <c r="D11" s="249"/>
      <c r="E11" s="249"/>
      <c r="F11" s="249"/>
      <c r="G11" s="249"/>
      <c r="H11" s="249"/>
      <c r="I11" s="7" t="s">
        <v>15</v>
      </c>
      <c r="J11" s="66" t="s">
        <v>74</v>
      </c>
      <c r="K11" s="52" t="s">
        <v>41</v>
      </c>
    </row>
    <row r="12" spans="1:15" ht="15" customHeight="1">
      <c r="A12" s="35" t="s">
        <v>470</v>
      </c>
      <c r="B12" s="194" t="s">
        <v>98</v>
      </c>
      <c r="C12" s="194"/>
      <c r="D12" s="194"/>
      <c r="E12" s="194"/>
      <c r="F12" s="194"/>
      <c r="G12" s="194"/>
      <c r="H12" s="194"/>
      <c r="I12" s="5">
        <f>'Stavební rozpočet'!I12</f>
        <v>0</v>
      </c>
      <c r="J12" s="5">
        <f>'Stavební rozpočet'!J12</f>
        <v>0</v>
      </c>
      <c r="K12" s="5">
        <f>'Stavební rozpočet'!K12</f>
        <v>0</v>
      </c>
      <c r="L12" s="9" t="s">
        <v>187</v>
      </c>
      <c r="M12" s="5">
        <f>IF(L12="F",0,K12)</f>
        <v>0</v>
      </c>
      <c r="N12" s="26" t="s">
        <v>470</v>
      </c>
      <c r="O12" s="5">
        <f>IF(L12="T",0,K12)</f>
        <v>0</v>
      </c>
    </row>
    <row r="13" spans="1:15" ht="15" customHeight="1">
      <c r="A13" s="17" t="s">
        <v>414</v>
      </c>
      <c r="B13" s="197" t="s">
        <v>421</v>
      </c>
      <c r="C13" s="197"/>
      <c r="D13" s="197"/>
      <c r="E13" s="197"/>
      <c r="F13" s="197"/>
      <c r="G13" s="197"/>
      <c r="H13" s="197"/>
      <c r="I13" s="8">
        <f>'Stavební rozpočet'!I96</f>
        <v>0</v>
      </c>
      <c r="J13" s="8">
        <f>'Stavební rozpočet'!J96</f>
        <v>0</v>
      </c>
      <c r="K13" s="8">
        <f>'Stavební rozpočet'!K96</f>
        <v>0</v>
      </c>
      <c r="L13" s="9" t="s">
        <v>187</v>
      </c>
      <c r="M13" s="5">
        <f>IF(L13="F",0,K13)</f>
        <v>0</v>
      </c>
      <c r="N13" s="26" t="s">
        <v>414</v>
      </c>
      <c r="O13" s="5">
        <f>IF(L13="T",0,K13)</f>
        <v>0</v>
      </c>
    </row>
    <row r="14" spans="9:11" ht="15" customHeight="1">
      <c r="I14" s="202" t="s">
        <v>342</v>
      </c>
      <c r="J14" s="202"/>
      <c r="K14" s="63">
        <f>SUM(O12:O13)</f>
        <v>0</v>
      </c>
    </row>
    <row r="15" ht="15" customHeight="1">
      <c r="A15" s="2" t="s">
        <v>31</v>
      </c>
    </row>
    <row r="16" spans="1:11" ht="40.5" customHeight="1">
      <c r="A16" s="199" t="s">
        <v>255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</sheetData>
  <mergeCells count="32">
    <mergeCell ref="A16:K16"/>
    <mergeCell ref="B10:H10"/>
    <mergeCell ref="B11:H11"/>
    <mergeCell ref="I10:K10"/>
    <mergeCell ref="B12:H12"/>
    <mergeCell ref="B13:H13"/>
    <mergeCell ref="I14:J14"/>
    <mergeCell ref="I2:I3"/>
    <mergeCell ref="I4:I5"/>
    <mergeCell ref="I6:I7"/>
    <mergeCell ref="I8:I9"/>
    <mergeCell ref="J2:K3"/>
    <mergeCell ref="J4:K5"/>
    <mergeCell ref="J6:K7"/>
    <mergeCell ref="J8:K9"/>
    <mergeCell ref="G4:G5"/>
    <mergeCell ref="G6:G7"/>
    <mergeCell ref="G8:G9"/>
    <mergeCell ref="H2:H3"/>
    <mergeCell ref="H4:H5"/>
    <mergeCell ref="H6:H7"/>
    <mergeCell ref="H8:H9"/>
    <mergeCell ref="A1:K1"/>
    <mergeCell ref="A2:C3"/>
    <mergeCell ref="A4:C5"/>
    <mergeCell ref="A6:C7"/>
    <mergeCell ref="A8:C9"/>
    <mergeCell ref="D2:F3"/>
    <mergeCell ref="D4:F5"/>
    <mergeCell ref="D6:F7"/>
    <mergeCell ref="D8:F9"/>
    <mergeCell ref="G2:G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OutlineSymbols="0" zoomScale="85" zoomScaleNormal="85" workbookViewId="0" topLeftCell="A1">
      <pane ySplit="11" topLeftCell="A12" activePane="bottomLeft" state="frozen"/>
      <selection pane="topLeft" activeCell="A25" sqref="A25:L25"/>
      <selection pane="bottomLeft" activeCell="H41" sqref="H41"/>
    </sheetView>
  </sheetViews>
  <sheetFormatPr defaultColWidth="14.16015625" defaultRowHeight="15" customHeight="1"/>
  <cols>
    <col min="1" max="1" width="8.83203125" style="0" customWidth="1"/>
    <col min="2" max="2" width="6.66015625" style="0" customWidth="1"/>
    <col min="3" max="8" width="18.33203125" style="0" customWidth="1"/>
    <col min="9" max="11" width="16.66015625" style="0" customWidth="1"/>
    <col min="12" max="15" width="14.16015625" style="0" hidden="1" customWidth="1"/>
  </cols>
  <sheetData>
    <row r="1" spans="1:11" ht="54.75" customHeight="1">
      <c r="A1" s="190" t="s">
        <v>364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" customHeight="1">
      <c r="A2" s="191" t="s">
        <v>23</v>
      </c>
      <c r="B2" s="192"/>
      <c r="C2" s="192"/>
      <c r="D2" s="200" t="str">
        <f>'Stavební rozpočet'!C2</f>
        <v>Stavební úpravy části objektu ZČU - část 1.</v>
      </c>
      <c r="E2" s="201"/>
      <c r="F2" s="201"/>
      <c r="G2" s="198" t="s">
        <v>2</v>
      </c>
      <c r="H2" s="198" t="str">
        <f>'Stavební rozpočet'!G2</f>
        <v xml:space="preserve"> </v>
      </c>
      <c r="I2" s="198" t="s">
        <v>365</v>
      </c>
      <c r="J2" s="198" t="str">
        <f>'Stavební rozpočet'!I2</f>
        <v>ZČU v Plzni, Univerzitní 2732/8, Plzeň</v>
      </c>
      <c r="K2" s="192"/>
    </row>
    <row r="3" spans="1:11" ht="15" customHeight="1">
      <c r="A3" s="193"/>
      <c r="B3" s="194"/>
      <c r="C3" s="194"/>
      <c r="D3" s="202"/>
      <c r="E3" s="202"/>
      <c r="F3" s="202"/>
      <c r="G3" s="194"/>
      <c r="H3" s="194"/>
      <c r="I3" s="194"/>
      <c r="J3" s="194"/>
      <c r="K3" s="194"/>
    </row>
    <row r="4" spans="1:11" ht="15" customHeight="1">
      <c r="A4" s="195" t="s">
        <v>225</v>
      </c>
      <c r="B4" s="194"/>
      <c r="C4" s="194"/>
      <c r="D4" s="199" t="str">
        <f>'Stavební rozpočet'!C4</f>
        <v xml:space="preserve"> </v>
      </c>
      <c r="E4" s="194"/>
      <c r="F4" s="194"/>
      <c r="G4" s="199" t="s">
        <v>390</v>
      </c>
      <c r="H4" s="199" t="str">
        <f>'Stavební rozpočet'!G4</f>
        <v xml:space="preserve"> </v>
      </c>
      <c r="I4" s="199" t="s">
        <v>292</v>
      </c>
      <c r="J4" s="199" t="str">
        <f>'Stavební rozpočet'!I4</f>
        <v>AIP Plzeň spol. s r.o., Brojova 16, Plzeň</v>
      </c>
      <c r="K4" s="194"/>
    </row>
    <row r="5" spans="1:11" ht="15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customHeight="1">
      <c r="A6" s="195" t="s">
        <v>32</v>
      </c>
      <c r="B6" s="194"/>
      <c r="C6" s="194"/>
      <c r="D6" s="199" t="str">
        <f>'Stavební rozpočet'!C6</f>
        <v>Sedláčkova 15, Plzeň</v>
      </c>
      <c r="E6" s="194"/>
      <c r="F6" s="194"/>
      <c r="G6" s="199" t="s">
        <v>137</v>
      </c>
      <c r="H6" s="199" t="str">
        <f>'Stavební rozpočet'!G6</f>
        <v xml:space="preserve"> </v>
      </c>
      <c r="I6" s="199" t="s">
        <v>377</v>
      </c>
      <c r="J6" s="199" t="str">
        <f>'Stavební rozpočet'!I6</f>
        <v> </v>
      </c>
      <c r="K6" s="194"/>
    </row>
    <row r="7" spans="1:11" ht="15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5" customHeight="1">
      <c r="A8" s="195" t="s">
        <v>203</v>
      </c>
      <c r="B8" s="194"/>
      <c r="C8" s="194"/>
      <c r="D8" s="199" t="str">
        <f>'Stavební rozpočet'!C8</f>
        <v>8013</v>
      </c>
      <c r="E8" s="194"/>
      <c r="F8" s="194"/>
      <c r="G8" s="199" t="s">
        <v>230</v>
      </c>
      <c r="H8" s="199" t="str">
        <f>'Stavební rozpočet'!G8</f>
        <v>01.03.2024</v>
      </c>
      <c r="I8" s="199" t="s">
        <v>282</v>
      </c>
      <c r="J8" s="199" t="str">
        <f>'Stavební rozpočet'!I8</f>
        <v>Alen Kadlecová</v>
      </c>
      <c r="K8" s="194"/>
    </row>
    <row r="9" spans="1:11" ht="15" customHeigh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5" customHeight="1">
      <c r="A10" s="45"/>
      <c r="B10" s="72" t="s">
        <v>401</v>
      </c>
      <c r="C10" s="248" t="s">
        <v>401</v>
      </c>
      <c r="D10" s="248"/>
      <c r="E10" s="248"/>
      <c r="F10" s="248"/>
      <c r="G10" s="248"/>
      <c r="H10" s="248"/>
      <c r="I10" s="250" t="s">
        <v>271</v>
      </c>
      <c r="J10" s="251"/>
      <c r="K10" s="252"/>
    </row>
    <row r="11" spans="1:11" ht="15" customHeight="1">
      <c r="A11" s="28"/>
      <c r="B11" s="21" t="s">
        <v>138</v>
      </c>
      <c r="C11" s="249" t="s">
        <v>467</v>
      </c>
      <c r="D11" s="249"/>
      <c r="E11" s="249"/>
      <c r="F11" s="249"/>
      <c r="G11" s="249"/>
      <c r="H11" s="249"/>
      <c r="I11" s="7" t="s">
        <v>15</v>
      </c>
      <c r="J11" s="66" t="s">
        <v>74</v>
      </c>
      <c r="K11" s="52" t="s">
        <v>41</v>
      </c>
    </row>
    <row r="12" spans="1:15" ht="15" customHeight="1">
      <c r="A12" s="35"/>
      <c r="B12" s="26" t="s">
        <v>293</v>
      </c>
      <c r="C12" s="194" t="s">
        <v>98</v>
      </c>
      <c r="D12" s="194"/>
      <c r="E12" s="194"/>
      <c r="F12" s="194"/>
      <c r="G12" s="194"/>
      <c r="H12" s="194"/>
      <c r="I12" s="5">
        <f>'Stavební rozpočet'!I12</f>
        <v>0</v>
      </c>
      <c r="J12" s="5">
        <f>'Stavební rozpočet'!J12</f>
        <v>0</v>
      </c>
      <c r="K12" s="5">
        <f>'Stavební rozpočet'!K12</f>
        <v>0</v>
      </c>
      <c r="L12" s="9" t="s">
        <v>187</v>
      </c>
      <c r="M12" s="5">
        <f>IF(L12="F",0,K12)</f>
        <v>0</v>
      </c>
      <c r="N12" s="26" t="s">
        <v>470</v>
      </c>
      <c r="O12" s="5">
        <f>IF(L12="T",0,K12)</f>
        <v>0</v>
      </c>
    </row>
    <row r="13" spans="1:15" ht="15" customHeight="1">
      <c r="A13" s="35"/>
      <c r="B13" s="26" t="s">
        <v>374</v>
      </c>
      <c r="C13" s="194" t="s">
        <v>0</v>
      </c>
      <c r="D13" s="194"/>
      <c r="E13" s="194"/>
      <c r="F13" s="194"/>
      <c r="G13" s="194"/>
      <c r="H13" s="194"/>
      <c r="I13" s="5">
        <f>SUMIF('Stavební rozpočet'!AV13:AV98,"D.1.1_3_",'Stavební rozpočet'!AS13:AS98)</f>
        <v>0</v>
      </c>
      <c r="J13" s="5">
        <f>SUMIF('Stavební rozpočet'!AV13:AV98,"D.1.1_3_",'Stavební rozpočet'!AT13:AT98)</f>
        <v>0</v>
      </c>
      <c r="K13" s="5">
        <f>SUMIF('Stavební rozpočet'!AV13:AV98,"D.1.1_3_",'Stavební rozpočet'!AR13:AR98)</f>
        <v>0</v>
      </c>
      <c r="L13" s="9" t="s">
        <v>418</v>
      </c>
      <c r="M13" s="5">
        <f>IF(L13="F",0,K13)</f>
        <v>0</v>
      </c>
      <c r="N13" s="26" t="s">
        <v>470</v>
      </c>
      <c r="O13" s="5">
        <f>IF(L13="T",0,K13)</f>
        <v>0</v>
      </c>
    </row>
    <row r="14" spans="1:15" ht="15" customHeight="1">
      <c r="A14" s="35"/>
      <c r="B14" s="26" t="s">
        <v>65</v>
      </c>
      <c r="C14" s="194" t="s">
        <v>260</v>
      </c>
      <c r="D14" s="194"/>
      <c r="E14" s="194"/>
      <c r="F14" s="194"/>
      <c r="G14" s="194"/>
      <c r="H14" s="194"/>
      <c r="I14" s="5">
        <f>SUMIF('Stavební rozpočet'!AV13:AV98,"D.1.1_6_",'Stavební rozpočet'!AS13:AS98)</f>
        <v>0</v>
      </c>
      <c r="J14" s="5">
        <f>SUMIF('Stavební rozpočet'!AV13:AV98,"D.1.1_6_",'Stavební rozpočet'!AT13:AT98)</f>
        <v>0</v>
      </c>
      <c r="K14" s="5">
        <f>SUMIF('Stavební rozpočet'!AV13:AV98,"D.1.1_6_",'Stavební rozpočet'!AR13:AR98)</f>
        <v>0</v>
      </c>
      <c r="L14" s="9" t="s">
        <v>418</v>
      </c>
      <c r="M14" s="5">
        <f>IF(L14="F",0,K14)</f>
        <v>0</v>
      </c>
      <c r="N14" s="26" t="s">
        <v>470</v>
      </c>
      <c r="O14" s="5">
        <f>IF(L14="T",0,K14)</f>
        <v>0</v>
      </c>
    </row>
    <row r="15" spans="1:15" ht="15" customHeight="1">
      <c r="A15" s="35"/>
      <c r="B15" s="26" t="s">
        <v>34</v>
      </c>
      <c r="C15" s="194" t="s">
        <v>33</v>
      </c>
      <c r="D15" s="194"/>
      <c r="E15" s="194"/>
      <c r="F15" s="194"/>
      <c r="G15" s="194"/>
      <c r="H15" s="194"/>
      <c r="I15" s="5">
        <f>SUMIF('Stavební rozpočet'!AV13:AV98,"D.1.1_71_",'Stavební rozpočet'!AS13:AS98)</f>
        <v>0</v>
      </c>
      <c r="J15" s="5">
        <f>SUMIF('Stavební rozpočet'!AV13:AV98,"D.1.1_71_",'Stavební rozpočet'!AT13:AT98)</f>
        <v>0</v>
      </c>
      <c r="K15" s="5">
        <f>SUMIF('Stavební rozpočet'!AV13:AV98,"D.1.1_71_",'Stavební rozpočet'!AR13:AR98)</f>
        <v>0</v>
      </c>
      <c r="L15" s="9" t="s">
        <v>418</v>
      </c>
      <c r="M15" s="5">
        <f>IF(L15="F",0,K15)</f>
        <v>0</v>
      </c>
      <c r="N15" s="26" t="s">
        <v>470</v>
      </c>
      <c r="O15" s="5">
        <f>IF(L15="T",0,K15)</f>
        <v>0</v>
      </c>
    </row>
    <row r="16" spans="1:15" ht="15" customHeight="1">
      <c r="A16" s="35"/>
      <c r="B16" s="26" t="s">
        <v>254</v>
      </c>
      <c r="C16" s="194" t="s">
        <v>472</v>
      </c>
      <c r="D16" s="194"/>
      <c r="E16" s="194"/>
      <c r="F16" s="194"/>
      <c r="G16" s="194"/>
      <c r="H16" s="194"/>
      <c r="I16" s="5">
        <f>SUMIF('Stavební rozpočet'!AV13:AV98,"D.1.1_73_",'Stavební rozpočet'!AS13:AS98)</f>
        <v>0</v>
      </c>
      <c r="J16" s="5">
        <f>SUMIF('Stavební rozpočet'!AV13:AV98,"D.1.1_73_",'Stavební rozpočet'!AT13:AT98)</f>
        <v>0</v>
      </c>
      <c r="K16" s="5">
        <f>SUMIF('Stavební rozpočet'!AV13:AV98,"D.1.1_73_",'Stavební rozpočet'!AR13:AR98)</f>
        <v>0</v>
      </c>
      <c r="L16" s="9" t="s">
        <v>418</v>
      </c>
      <c r="M16" s="5">
        <f>IF(L16="F",0,K16)</f>
        <v>0</v>
      </c>
      <c r="N16" s="26" t="s">
        <v>470</v>
      </c>
      <c r="O16" s="5">
        <f>IF(L16="T",0,K16)</f>
        <v>0</v>
      </c>
    </row>
    <row r="17" spans="1:15" ht="15" customHeight="1">
      <c r="A17" s="35"/>
      <c r="B17" s="26" t="s">
        <v>283</v>
      </c>
      <c r="C17" s="194" t="s">
        <v>97</v>
      </c>
      <c r="D17" s="194"/>
      <c r="E17" s="194"/>
      <c r="F17" s="194"/>
      <c r="G17" s="194"/>
      <c r="H17" s="194"/>
      <c r="I17" s="5">
        <f>SUMIF('Stavební rozpočet'!AV13:AV98,"D.1.1_76_",'Stavební rozpočet'!AS13:AS98)</f>
        <v>0</v>
      </c>
      <c r="J17" s="5">
        <f>SUMIF('Stavební rozpočet'!AV13:AV98,"D.1.1_76_",'Stavební rozpočet'!AT13:AT98)</f>
        <v>0</v>
      </c>
      <c r="K17" s="5">
        <f>SUMIF('Stavební rozpočet'!AV13:AV98,"D.1.1_76_",'Stavební rozpočet'!AR13:AR98)</f>
        <v>0</v>
      </c>
      <c r="L17" s="9" t="s">
        <v>418</v>
      </c>
      <c r="M17" s="5">
        <f>IF(L17="F",0,K17)</f>
        <v>0</v>
      </c>
      <c r="N17" s="26" t="s">
        <v>470</v>
      </c>
      <c r="O17" s="5">
        <f>IF(L17="T",0,K17)</f>
        <v>0</v>
      </c>
    </row>
    <row r="18" spans="1:15" ht="15" customHeight="1">
      <c r="A18" s="35"/>
      <c r="B18" s="26" t="s">
        <v>208</v>
      </c>
      <c r="C18" s="194" t="s">
        <v>303</v>
      </c>
      <c r="D18" s="194"/>
      <c r="E18" s="194"/>
      <c r="F18" s="194"/>
      <c r="G18" s="194"/>
      <c r="H18" s="194"/>
      <c r="I18" s="5">
        <f>SUMIF('Stavební rozpočet'!AV13:AV98,"D.1.1_77_",'Stavební rozpočet'!AS13:AS98)</f>
        <v>0</v>
      </c>
      <c r="J18" s="5">
        <f>SUMIF('Stavební rozpočet'!AV13:AV98,"D.1.1_77_",'Stavební rozpočet'!AT13:AT98)</f>
        <v>0</v>
      </c>
      <c r="K18" s="5">
        <f>SUMIF('Stavební rozpočet'!AV13:AV98,"D.1.1_77_",'Stavební rozpočet'!AR13:AR98)</f>
        <v>0</v>
      </c>
      <c r="L18" s="9" t="s">
        <v>418</v>
      </c>
      <c r="M18" s="5">
        <f>IF(L18="F",0,K18)</f>
        <v>0</v>
      </c>
      <c r="N18" s="26" t="s">
        <v>470</v>
      </c>
      <c r="O18" s="5">
        <f>IF(L18="T",0,K18)</f>
        <v>0</v>
      </c>
    </row>
    <row r="19" spans="1:15" ht="15" customHeight="1">
      <c r="A19" s="35"/>
      <c r="B19" s="26" t="s">
        <v>90</v>
      </c>
      <c r="C19" s="194" t="s">
        <v>19</v>
      </c>
      <c r="D19" s="194"/>
      <c r="E19" s="194"/>
      <c r="F19" s="194"/>
      <c r="G19" s="194"/>
      <c r="H19" s="194"/>
      <c r="I19" s="5">
        <f>SUMIF('Stavební rozpočet'!AV13:AV98,"D.1.1_78_",'Stavební rozpočet'!AS13:AS98)</f>
        <v>0</v>
      </c>
      <c r="J19" s="5">
        <f>SUMIF('Stavební rozpočet'!AV13:AV98,"D.1.1_78_",'Stavební rozpočet'!AT13:AT98)</f>
        <v>0</v>
      </c>
      <c r="K19" s="5">
        <f>SUMIF('Stavební rozpočet'!AV13:AV98,"D.1.1_78_",'Stavební rozpočet'!AR13:AR98)</f>
        <v>0</v>
      </c>
      <c r="L19" s="9" t="s">
        <v>418</v>
      </c>
      <c r="M19" s="5">
        <f>IF(L19="F",0,K19)</f>
        <v>0</v>
      </c>
      <c r="N19" s="26" t="s">
        <v>470</v>
      </c>
      <c r="O19" s="5">
        <f>IF(L19="T",0,K19)</f>
        <v>0</v>
      </c>
    </row>
    <row r="20" spans="1:15" ht="15" customHeight="1">
      <c r="A20" s="35"/>
      <c r="B20" s="26" t="s">
        <v>162</v>
      </c>
      <c r="C20" s="194" t="s">
        <v>407</v>
      </c>
      <c r="D20" s="194"/>
      <c r="E20" s="194"/>
      <c r="F20" s="194"/>
      <c r="G20" s="194"/>
      <c r="H20" s="194"/>
      <c r="I20" s="5">
        <f>SUMIF('Stavební rozpočet'!AV13:AV98,"D.1.1_9_",'Stavební rozpočet'!AS13:AS98)</f>
        <v>0</v>
      </c>
      <c r="J20" s="5">
        <f>SUMIF('Stavební rozpočet'!AV13:AV98,"D.1.1_9_",'Stavební rozpočet'!AT13:AT98)</f>
        <v>0</v>
      </c>
      <c r="K20" s="5">
        <f>SUMIF('Stavební rozpočet'!AV13:AV98,"D.1.1_9_",'Stavební rozpočet'!AR13:AR98)</f>
        <v>0</v>
      </c>
      <c r="L20" s="9" t="s">
        <v>418</v>
      </c>
      <c r="M20" s="5">
        <f>IF(L20="F",0,K20)</f>
        <v>0</v>
      </c>
      <c r="N20" s="26" t="s">
        <v>470</v>
      </c>
      <c r="O20" s="5">
        <f>IF(L20="T",0,K20)</f>
        <v>0</v>
      </c>
    </row>
    <row r="21" spans="1:15" ht="15" customHeight="1">
      <c r="A21" s="35"/>
      <c r="B21" s="26" t="s">
        <v>293</v>
      </c>
      <c r="C21" s="194" t="s">
        <v>421</v>
      </c>
      <c r="D21" s="194"/>
      <c r="E21" s="194"/>
      <c r="F21" s="194"/>
      <c r="G21" s="194"/>
      <c r="H21" s="194"/>
      <c r="I21" s="5">
        <f>'Stavební rozpočet'!I96</f>
        <v>0</v>
      </c>
      <c r="J21" s="5">
        <f>'Stavební rozpočet'!J96</f>
        <v>0</v>
      </c>
      <c r="K21" s="5">
        <f>'Stavební rozpočet'!K96</f>
        <v>0</v>
      </c>
      <c r="L21" s="9" t="s">
        <v>187</v>
      </c>
      <c r="M21" s="5">
        <f>IF(L21="F",0,K21)</f>
        <v>0</v>
      </c>
      <c r="N21" s="26" t="s">
        <v>414</v>
      </c>
      <c r="O21" s="5">
        <f>IF(L21="T",0,K21)</f>
        <v>0</v>
      </c>
    </row>
    <row r="22" spans="1:15" ht="15" customHeight="1">
      <c r="A22" s="17"/>
      <c r="B22" s="24" t="s">
        <v>162</v>
      </c>
      <c r="C22" s="197" t="s">
        <v>407</v>
      </c>
      <c r="D22" s="197"/>
      <c r="E22" s="197"/>
      <c r="F22" s="197"/>
      <c r="G22" s="197"/>
      <c r="H22" s="197"/>
      <c r="I22" s="8">
        <f>SUMIF('Stavební rozpočet'!AV13:AV98,"D.1.4.a_9_",'Stavební rozpočet'!AS13:AS98)</f>
        <v>0</v>
      </c>
      <c r="J22" s="8">
        <f>SUMIF('Stavební rozpočet'!AV13:AV98,"D.1.4.a_9_",'Stavební rozpočet'!AT13:AT98)</f>
        <v>0</v>
      </c>
      <c r="K22" s="8">
        <f>SUMIF('Stavební rozpočet'!AV13:AV98,"D.1.4.a_9_",'Stavební rozpočet'!AR13:AR98)</f>
        <v>0</v>
      </c>
      <c r="L22" s="9" t="s">
        <v>418</v>
      </c>
      <c r="M22" s="5">
        <f>IF(L22="F",0,K22)</f>
        <v>0</v>
      </c>
      <c r="N22" s="26" t="s">
        <v>414</v>
      </c>
      <c r="O22" s="5">
        <f>IF(L22="T",0,K22)</f>
        <v>0</v>
      </c>
    </row>
    <row r="23" spans="9:11" ht="15" customHeight="1">
      <c r="I23" s="202" t="s">
        <v>342</v>
      </c>
      <c r="J23" s="202"/>
      <c r="K23" s="63">
        <f>SUM(M12:M22)</f>
        <v>0</v>
      </c>
    </row>
    <row r="24" ht="15" customHeight="1">
      <c r="A24" s="2" t="s">
        <v>31</v>
      </c>
    </row>
    <row r="25" spans="1:11" ht="40.5" customHeight="1">
      <c r="A25" s="199" t="s">
        <v>255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</row>
  </sheetData>
  <mergeCells count="41">
    <mergeCell ref="C21:H21"/>
    <mergeCell ref="C22:H22"/>
    <mergeCell ref="I23:J23"/>
    <mergeCell ref="A25:K25"/>
    <mergeCell ref="C15:H15"/>
    <mergeCell ref="C16:H16"/>
    <mergeCell ref="C17:H17"/>
    <mergeCell ref="C18:H18"/>
    <mergeCell ref="C19:H19"/>
    <mergeCell ref="C20:H20"/>
    <mergeCell ref="C10:H10"/>
    <mergeCell ref="C11:H11"/>
    <mergeCell ref="I10:K10"/>
    <mergeCell ref="C12:H12"/>
    <mergeCell ref="C13:H13"/>
    <mergeCell ref="C14:H14"/>
    <mergeCell ref="I2:I3"/>
    <mergeCell ref="I4:I5"/>
    <mergeCell ref="I6:I7"/>
    <mergeCell ref="I8:I9"/>
    <mergeCell ref="J2:K3"/>
    <mergeCell ref="J4:K5"/>
    <mergeCell ref="J6:K7"/>
    <mergeCell ref="J8:K9"/>
    <mergeCell ref="G4:G5"/>
    <mergeCell ref="G6:G7"/>
    <mergeCell ref="G8:G9"/>
    <mergeCell ref="H2:H3"/>
    <mergeCell ref="H4:H5"/>
    <mergeCell ref="H6:H7"/>
    <mergeCell ref="H8:H9"/>
    <mergeCell ref="A1:K1"/>
    <mergeCell ref="A2:C3"/>
    <mergeCell ref="A4:C5"/>
    <mergeCell ref="A6:C7"/>
    <mergeCell ref="A8:C9"/>
    <mergeCell ref="D2:F3"/>
    <mergeCell ref="D4:F5"/>
    <mergeCell ref="D6:F7"/>
    <mergeCell ref="D8:F9"/>
    <mergeCell ref="G2:G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1"/>
  <sheetViews>
    <sheetView showOutlineSymbols="0" zoomScale="70" zoomScaleNormal="70" workbookViewId="0" topLeftCell="A1">
      <pane ySplit="11" topLeftCell="A12" activePane="bottomLeft" state="frozen"/>
      <selection pane="topLeft" activeCell="A101" sqref="A101:P101"/>
      <selection pane="bottomLeft" activeCell="C30" sqref="C30:D30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92.16015625" style="0" customWidth="1"/>
    <col min="5" max="5" width="5" style="0" customWidth="1"/>
    <col min="6" max="6" width="15" style="0" customWidth="1"/>
    <col min="7" max="7" width="14" style="0" customWidth="1"/>
    <col min="8" max="8" width="13" style="0" customWidth="1"/>
    <col min="9" max="11" width="18.33203125" style="0" customWidth="1"/>
    <col min="12" max="12" width="15.66015625" style="0" customWidth="1"/>
    <col min="21" max="71" width="14.16015625" style="0" hidden="1" customWidth="1"/>
  </cols>
  <sheetData>
    <row r="1" spans="1:43" ht="54.75" customHeight="1">
      <c r="A1" s="190" t="s">
        <v>224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AO1" s="69">
        <f>SUM(AF1:AF2)</f>
        <v>0</v>
      </c>
      <c r="AP1" s="69">
        <f>SUM(AG1:AG2)</f>
        <v>0</v>
      </c>
      <c r="AQ1" s="69">
        <f>SUM(AH1:AH2)</f>
        <v>0</v>
      </c>
    </row>
    <row r="2" spans="1:12" ht="15" customHeight="1">
      <c r="A2" s="191" t="s">
        <v>23</v>
      </c>
      <c r="B2" s="192"/>
      <c r="C2" s="200" t="s">
        <v>331</v>
      </c>
      <c r="D2" s="201"/>
      <c r="E2" s="192" t="s">
        <v>2</v>
      </c>
      <c r="F2" s="192"/>
      <c r="G2" s="192" t="s">
        <v>401</v>
      </c>
      <c r="H2" s="198" t="s">
        <v>365</v>
      </c>
      <c r="I2" s="198" t="s">
        <v>251</v>
      </c>
      <c r="J2" s="192"/>
      <c r="K2" s="192"/>
      <c r="L2" s="203"/>
    </row>
    <row r="3" spans="1:12" ht="15" customHeight="1">
      <c r="A3" s="193"/>
      <c r="B3" s="194"/>
      <c r="C3" s="202"/>
      <c r="D3" s="202"/>
      <c r="E3" s="194"/>
      <c r="F3" s="194"/>
      <c r="G3" s="194"/>
      <c r="H3" s="194"/>
      <c r="I3" s="194"/>
      <c r="J3" s="194"/>
      <c r="K3" s="194"/>
      <c r="L3" s="204"/>
    </row>
    <row r="4" spans="1:12" ht="15" customHeight="1">
      <c r="A4" s="195" t="s">
        <v>225</v>
      </c>
      <c r="B4" s="194"/>
      <c r="C4" s="199" t="s">
        <v>401</v>
      </c>
      <c r="D4" s="194"/>
      <c r="E4" s="194" t="s">
        <v>390</v>
      </c>
      <c r="F4" s="194"/>
      <c r="G4" s="194" t="s">
        <v>401</v>
      </c>
      <c r="H4" s="199" t="s">
        <v>292</v>
      </c>
      <c r="I4" s="199" t="s">
        <v>452</v>
      </c>
      <c r="J4" s="194"/>
      <c r="K4" s="194"/>
      <c r="L4" s="204"/>
    </row>
    <row r="5" spans="1:12" ht="15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204"/>
    </row>
    <row r="6" spans="1:12" ht="15" customHeight="1">
      <c r="A6" s="195" t="s">
        <v>32</v>
      </c>
      <c r="B6" s="194"/>
      <c r="C6" s="199" t="s">
        <v>89</v>
      </c>
      <c r="D6" s="194"/>
      <c r="E6" s="194" t="s">
        <v>137</v>
      </c>
      <c r="F6" s="194"/>
      <c r="G6" s="194" t="s">
        <v>401</v>
      </c>
      <c r="H6" s="199" t="s">
        <v>377</v>
      </c>
      <c r="I6" s="194" t="s">
        <v>195</v>
      </c>
      <c r="J6" s="194"/>
      <c r="K6" s="194"/>
      <c r="L6" s="204"/>
    </row>
    <row r="7" spans="1:12" ht="15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204"/>
    </row>
    <row r="8" spans="1:12" ht="15" customHeight="1">
      <c r="A8" s="195" t="s">
        <v>203</v>
      </c>
      <c r="B8" s="194"/>
      <c r="C8" s="199" t="s">
        <v>177</v>
      </c>
      <c r="D8" s="194"/>
      <c r="E8" s="194" t="s">
        <v>230</v>
      </c>
      <c r="F8" s="194"/>
      <c r="G8" s="194" t="s">
        <v>389</v>
      </c>
      <c r="H8" s="199" t="s">
        <v>282</v>
      </c>
      <c r="I8" s="199" t="s">
        <v>398</v>
      </c>
      <c r="J8" s="194"/>
      <c r="K8" s="194"/>
      <c r="L8" s="204"/>
    </row>
    <row r="9" spans="1:12" ht="15" customHeigh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204"/>
    </row>
    <row r="10" spans="1:71" ht="15" customHeight="1">
      <c r="A10" s="22" t="s">
        <v>27</v>
      </c>
      <c r="B10" s="13" t="s">
        <v>138</v>
      </c>
      <c r="C10" s="253" t="s">
        <v>467</v>
      </c>
      <c r="D10" s="254"/>
      <c r="E10" s="13" t="s">
        <v>145</v>
      </c>
      <c r="F10" s="38" t="s">
        <v>244</v>
      </c>
      <c r="G10" s="65" t="s">
        <v>135</v>
      </c>
      <c r="H10" s="49" t="s">
        <v>52</v>
      </c>
      <c r="I10" s="250" t="s">
        <v>271</v>
      </c>
      <c r="J10" s="251"/>
      <c r="K10" s="252"/>
      <c r="L10" s="10" t="s">
        <v>111</v>
      </c>
      <c r="BG10" s="4" t="s">
        <v>167</v>
      </c>
      <c r="BH10" s="3" t="s">
        <v>216</v>
      </c>
      <c r="BS10" s="3" t="s">
        <v>476</v>
      </c>
    </row>
    <row r="11" spans="1:58" ht="15" customHeight="1">
      <c r="A11" s="76" t="s">
        <v>401</v>
      </c>
      <c r="B11" s="78" t="s">
        <v>401</v>
      </c>
      <c r="C11" s="249" t="s">
        <v>434</v>
      </c>
      <c r="D11" s="255"/>
      <c r="E11" s="78" t="s">
        <v>401</v>
      </c>
      <c r="F11" s="78" t="s">
        <v>401</v>
      </c>
      <c r="G11" s="31" t="s">
        <v>410</v>
      </c>
      <c r="H11" s="67" t="s">
        <v>401</v>
      </c>
      <c r="I11" s="7" t="s">
        <v>15</v>
      </c>
      <c r="J11" s="66" t="s">
        <v>74</v>
      </c>
      <c r="K11" s="52" t="s">
        <v>41</v>
      </c>
      <c r="L11" s="7" t="s">
        <v>107</v>
      </c>
      <c r="V11" s="4" t="s">
        <v>335</v>
      </c>
      <c r="W11" s="4" t="s">
        <v>253</v>
      </c>
      <c r="X11" s="4" t="s">
        <v>449</v>
      </c>
      <c r="Y11" s="4" t="s">
        <v>116</v>
      </c>
      <c r="Z11" s="4" t="s">
        <v>368</v>
      </c>
      <c r="AA11" s="4" t="s">
        <v>157</v>
      </c>
      <c r="AB11" s="4" t="s">
        <v>393</v>
      </c>
      <c r="AC11" s="4" t="s">
        <v>181</v>
      </c>
      <c r="AD11" s="4" t="s">
        <v>110</v>
      </c>
      <c r="BD11" s="4" t="s">
        <v>336</v>
      </c>
      <c r="BE11" s="4" t="s">
        <v>440</v>
      </c>
      <c r="BF11" s="4" t="s">
        <v>471</v>
      </c>
    </row>
    <row r="12" spans="1:12" ht="15" customHeight="1">
      <c r="A12" s="37" t="s">
        <v>293</v>
      </c>
      <c r="B12" s="54" t="s">
        <v>293</v>
      </c>
      <c r="C12" s="256" t="s">
        <v>98</v>
      </c>
      <c r="D12" s="256"/>
      <c r="E12" s="42" t="s">
        <v>401</v>
      </c>
      <c r="F12" s="42" t="s">
        <v>401</v>
      </c>
      <c r="G12" s="42" t="s">
        <v>401</v>
      </c>
      <c r="H12" s="42" t="s">
        <v>401</v>
      </c>
      <c r="I12" s="74">
        <f>I13+I16+I19+I23+I28+I31+I35+I41+I45+I51+I59+I68+I70+I73</f>
        <v>0</v>
      </c>
      <c r="J12" s="74">
        <f>J13+J16+J19+J23+J28+J31+J35+J41+J45+J51+J59+J68+J70+J73</f>
        <v>0</v>
      </c>
      <c r="K12" s="74">
        <f>K13+K16+K19+K23+K28+K31+K35+K41+K45+K51+K59+K68+K70+K73</f>
        <v>0</v>
      </c>
      <c r="L12" s="58" t="s">
        <v>293</v>
      </c>
    </row>
    <row r="13" spans="1:43" ht="15" customHeight="1">
      <c r="A13" s="23" t="s">
        <v>293</v>
      </c>
      <c r="B13" s="61" t="s">
        <v>478</v>
      </c>
      <c r="C13" s="256" t="s">
        <v>95</v>
      </c>
      <c r="D13" s="256"/>
      <c r="E13" s="6" t="s">
        <v>401</v>
      </c>
      <c r="F13" s="6" t="s">
        <v>401</v>
      </c>
      <c r="G13" s="6" t="s">
        <v>401</v>
      </c>
      <c r="H13" s="6" t="s">
        <v>401</v>
      </c>
      <c r="I13" s="69">
        <f>SUM(I14:I15)</f>
        <v>0</v>
      </c>
      <c r="J13" s="69">
        <f>SUM(J14:J15)</f>
        <v>0</v>
      </c>
      <c r="K13" s="69">
        <f>SUM(K14:K15)</f>
        <v>0</v>
      </c>
      <c r="L13" s="55" t="s">
        <v>293</v>
      </c>
      <c r="AE13" s="4" t="s">
        <v>470</v>
      </c>
      <c r="AO13" s="69">
        <f>SUM(AF14:AF15)</f>
        <v>0</v>
      </c>
      <c r="AP13" s="69">
        <f>SUM(AG14:AG15)</f>
        <v>0</v>
      </c>
      <c r="AQ13" s="69">
        <f>SUM(AH14:AH15)</f>
        <v>0</v>
      </c>
    </row>
    <row r="14" spans="1:71" ht="15" customHeight="1">
      <c r="A14" s="35" t="s">
        <v>429</v>
      </c>
      <c r="B14" s="26" t="s">
        <v>104</v>
      </c>
      <c r="C14" s="194" t="s">
        <v>20</v>
      </c>
      <c r="D14" s="194"/>
      <c r="E14" s="26" t="s">
        <v>423</v>
      </c>
      <c r="F14" s="5">
        <v>24.163</v>
      </c>
      <c r="G14" s="5">
        <v>0</v>
      </c>
      <c r="H14" s="9" t="s">
        <v>302</v>
      </c>
      <c r="I14" s="5">
        <f>F14*AK14</f>
        <v>0</v>
      </c>
      <c r="J14" s="5">
        <f>F14*AL14</f>
        <v>0</v>
      </c>
      <c r="K14" s="5">
        <f>F14*G14</f>
        <v>0</v>
      </c>
      <c r="L14" s="56" t="s">
        <v>189</v>
      </c>
      <c r="V14" s="5">
        <f>IF(AM14="5",BF14,0)</f>
        <v>0</v>
      </c>
      <c r="X14" s="5">
        <f>IF(AM14="1",BD14,0)</f>
        <v>0</v>
      </c>
      <c r="Y14" s="5">
        <f>IF(AM14="1",BE14,0)</f>
        <v>0</v>
      </c>
      <c r="Z14" s="5">
        <f>IF(AM14="7",BD14,0)</f>
        <v>0</v>
      </c>
      <c r="AA14" s="5">
        <f>IF(AM14="7",BE14,0)</f>
        <v>0</v>
      </c>
      <c r="AB14" s="5">
        <f>IF(AM14="2",BD14,0)</f>
        <v>0</v>
      </c>
      <c r="AC14" s="5">
        <f>IF(AM14="2",BE14,0)</f>
        <v>0</v>
      </c>
      <c r="AD14" s="5">
        <f>IF(AM14="0",BF14,0)</f>
        <v>0</v>
      </c>
      <c r="AE14" s="4" t="s">
        <v>470</v>
      </c>
      <c r="AF14" s="5">
        <f>IF(AJ14=0,K14,0)</f>
        <v>0</v>
      </c>
      <c r="AG14" s="5">
        <f>IF(AJ14=12,K14,0)</f>
        <v>0</v>
      </c>
      <c r="AH14" s="5">
        <f>IF(AJ14=21,K14,0)</f>
        <v>0</v>
      </c>
      <c r="AJ14" s="5">
        <v>21</v>
      </c>
      <c r="AK14" s="5">
        <f>G14*0.614215245906467</f>
        <v>0</v>
      </c>
      <c r="AL14" s="5">
        <f>G14*(1-0.614215245906467)</f>
        <v>0</v>
      </c>
      <c r="AM14" s="9" t="s">
        <v>429</v>
      </c>
      <c r="AR14" s="5">
        <f>AS14+AT14</f>
        <v>0</v>
      </c>
      <c r="AS14" s="5">
        <f>F14*AK14</f>
        <v>0</v>
      </c>
      <c r="AT14" s="5">
        <f>F14*AL14</f>
        <v>0</v>
      </c>
      <c r="AU14" s="9" t="s">
        <v>304</v>
      </c>
      <c r="AV14" s="9" t="s">
        <v>309</v>
      </c>
      <c r="AW14" s="4" t="s">
        <v>223</v>
      </c>
      <c r="AY14" s="5">
        <f>AS14+AT14</f>
        <v>0</v>
      </c>
      <c r="AZ14" s="5">
        <f>G14/(100-BA14)*100</f>
        <v>0</v>
      </c>
      <c r="BA14" s="5">
        <v>0</v>
      </c>
      <c r="BB14" s="5" t="e">
        <f>#REF!</f>
        <v>#REF!</v>
      </c>
      <c r="BD14" s="5">
        <f>F14*AK14</f>
        <v>0</v>
      </c>
      <c r="BE14" s="5">
        <f>F14*AL14</f>
        <v>0</v>
      </c>
      <c r="BF14" s="5">
        <f>F14*G14</f>
        <v>0</v>
      </c>
      <c r="BG14" s="5"/>
      <c r="BH14" s="5">
        <v>34</v>
      </c>
      <c r="BS14" s="5" t="str">
        <f>H14</f>
        <v>21</v>
      </c>
    </row>
    <row r="15" spans="1:71" ht="15" customHeight="1">
      <c r="A15" s="35" t="s">
        <v>291</v>
      </c>
      <c r="B15" s="26" t="s">
        <v>183</v>
      </c>
      <c r="C15" s="194" t="s">
        <v>45</v>
      </c>
      <c r="D15" s="194"/>
      <c r="E15" s="26" t="s">
        <v>423</v>
      </c>
      <c r="F15" s="5">
        <v>19.137</v>
      </c>
      <c r="G15" s="5">
        <v>0</v>
      </c>
      <c r="H15" s="9" t="s">
        <v>302</v>
      </c>
      <c r="I15" s="5">
        <f>F15*AK15</f>
        <v>0</v>
      </c>
      <c r="J15" s="5">
        <f>F15*AL15</f>
        <v>0</v>
      </c>
      <c r="K15" s="5">
        <f>F15*G15</f>
        <v>0</v>
      </c>
      <c r="L15" s="56" t="s">
        <v>189</v>
      </c>
      <c r="V15" s="5">
        <f>IF(AM15="5",BF15,0)</f>
        <v>0</v>
      </c>
      <c r="X15" s="5">
        <f>IF(AM15="1",BD15,0)</f>
        <v>0</v>
      </c>
      <c r="Y15" s="5">
        <f>IF(AM15="1",BE15,0)</f>
        <v>0</v>
      </c>
      <c r="Z15" s="5">
        <f>IF(AM15="7",BD15,0)</f>
        <v>0</v>
      </c>
      <c r="AA15" s="5">
        <f>IF(AM15="7",BE15,0)</f>
        <v>0</v>
      </c>
      <c r="AB15" s="5">
        <f>IF(AM15="2",BD15,0)</f>
        <v>0</v>
      </c>
      <c r="AC15" s="5">
        <f>IF(AM15="2",BE15,0)</f>
        <v>0</v>
      </c>
      <c r="AD15" s="5">
        <f>IF(AM15="0",BF15,0)</f>
        <v>0</v>
      </c>
      <c r="AE15" s="4" t="s">
        <v>470</v>
      </c>
      <c r="AF15" s="5">
        <f>IF(AJ15=0,K15,0)</f>
        <v>0</v>
      </c>
      <c r="AG15" s="5">
        <f>IF(AJ15=12,K15,0)</f>
        <v>0</v>
      </c>
      <c r="AH15" s="5">
        <f>IF(AJ15=21,K15,0)</f>
        <v>0</v>
      </c>
      <c r="AJ15" s="5">
        <v>21</v>
      </c>
      <c r="AK15" s="5">
        <f>G15*0.492723599780334</f>
        <v>0</v>
      </c>
      <c r="AL15" s="5">
        <f>G15*(1-0.492723599780334)</f>
        <v>0</v>
      </c>
      <c r="AM15" s="9" t="s">
        <v>429</v>
      </c>
      <c r="AR15" s="5">
        <f>AS15+AT15</f>
        <v>0</v>
      </c>
      <c r="AS15" s="5">
        <f>F15*AK15</f>
        <v>0</v>
      </c>
      <c r="AT15" s="5">
        <f>F15*AL15</f>
        <v>0</v>
      </c>
      <c r="AU15" s="9" t="s">
        <v>304</v>
      </c>
      <c r="AV15" s="9" t="s">
        <v>309</v>
      </c>
      <c r="AW15" s="4" t="s">
        <v>223</v>
      </c>
      <c r="AY15" s="5">
        <f>AS15+AT15</f>
        <v>0</v>
      </c>
      <c r="AZ15" s="5">
        <f>G15/(100-BA15)*100</f>
        <v>0</v>
      </c>
      <c r="BA15" s="5">
        <v>0</v>
      </c>
      <c r="BB15" s="5" t="e">
        <f>#REF!</f>
        <v>#REF!</v>
      </c>
      <c r="BD15" s="5">
        <f>F15*AK15</f>
        <v>0</v>
      </c>
      <c r="BE15" s="5">
        <f>F15*AL15</f>
        <v>0</v>
      </c>
      <c r="BF15" s="5">
        <f>F15*G15</f>
        <v>0</v>
      </c>
      <c r="BG15" s="5"/>
      <c r="BH15" s="5">
        <v>34</v>
      </c>
      <c r="BS15" s="5" t="str">
        <f>H15</f>
        <v>21</v>
      </c>
    </row>
    <row r="16" spans="1:43" ht="15" customHeight="1">
      <c r="A16" s="23" t="s">
        <v>293</v>
      </c>
      <c r="B16" s="61" t="s">
        <v>312</v>
      </c>
      <c r="C16" s="256" t="s">
        <v>307</v>
      </c>
      <c r="D16" s="256"/>
      <c r="E16" s="6" t="s">
        <v>401</v>
      </c>
      <c r="F16" s="6" t="s">
        <v>401</v>
      </c>
      <c r="G16" s="6" t="s">
        <v>401</v>
      </c>
      <c r="H16" s="6" t="s">
        <v>401</v>
      </c>
      <c r="I16" s="69">
        <f>SUM(I17:I18)</f>
        <v>0</v>
      </c>
      <c r="J16" s="69">
        <f>SUM(J17:J18)</f>
        <v>0</v>
      </c>
      <c r="K16" s="69">
        <f>SUM(K17:K18)</f>
        <v>0</v>
      </c>
      <c r="L16" s="55" t="s">
        <v>293</v>
      </c>
      <c r="AE16" s="4" t="s">
        <v>470</v>
      </c>
      <c r="AO16" s="69">
        <f>SUM(AF17:AF18)</f>
        <v>0</v>
      </c>
      <c r="AP16" s="69">
        <f>SUM(AG17:AG18)</f>
        <v>0</v>
      </c>
      <c r="AQ16" s="69">
        <f>SUM(AH17:AH18)</f>
        <v>0</v>
      </c>
    </row>
    <row r="17" spans="1:71" ht="15" customHeight="1">
      <c r="A17" s="35" t="s">
        <v>374</v>
      </c>
      <c r="B17" s="26" t="s">
        <v>263</v>
      </c>
      <c r="C17" s="194" t="s">
        <v>117</v>
      </c>
      <c r="D17" s="194"/>
      <c r="E17" s="26" t="s">
        <v>102</v>
      </c>
      <c r="F17" s="5">
        <v>11</v>
      </c>
      <c r="G17" s="5">
        <v>0</v>
      </c>
      <c r="H17" s="9" t="s">
        <v>302</v>
      </c>
      <c r="I17" s="5">
        <f>F17*AK17</f>
        <v>0</v>
      </c>
      <c r="J17" s="5">
        <f>F17*AL17</f>
        <v>0</v>
      </c>
      <c r="K17" s="5">
        <f>F17*G17</f>
        <v>0</v>
      </c>
      <c r="L17" s="56" t="s">
        <v>189</v>
      </c>
      <c r="V17" s="5">
        <f>IF(AM17="5",BF17,0)</f>
        <v>0</v>
      </c>
      <c r="X17" s="5">
        <f>IF(AM17="1",BD17,0)</f>
        <v>0</v>
      </c>
      <c r="Y17" s="5">
        <f>IF(AM17="1",BE17,0)</f>
        <v>0</v>
      </c>
      <c r="Z17" s="5">
        <f>IF(AM17="7",BD17,0)</f>
        <v>0</v>
      </c>
      <c r="AA17" s="5">
        <f>IF(AM17="7",BE17,0)</f>
        <v>0</v>
      </c>
      <c r="AB17" s="5">
        <f>IF(AM17="2",BD17,0)</f>
        <v>0</v>
      </c>
      <c r="AC17" s="5">
        <f>IF(AM17="2",BE17,0)</f>
        <v>0</v>
      </c>
      <c r="AD17" s="5">
        <f>IF(AM17="0",BF17,0)</f>
        <v>0</v>
      </c>
      <c r="AE17" s="4" t="s">
        <v>470</v>
      </c>
      <c r="AF17" s="5">
        <f>IF(AJ17=0,K17,0)</f>
        <v>0</v>
      </c>
      <c r="AG17" s="5">
        <f>IF(AJ17=12,K17,0)</f>
        <v>0</v>
      </c>
      <c r="AH17" s="5">
        <f>IF(AJ17=21,K17,0)</f>
        <v>0</v>
      </c>
      <c r="AJ17" s="5">
        <v>21</v>
      </c>
      <c r="AK17" s="5">
        <f>G17*0.355625657202944</f>
        <v>0</v>
      </c>
      <c r="AL17" s="5">
        <f>G17*(1-0.355625657202944)</f>
        <v>0</v>
      </c>
      <c r="AM17" s="9" t="s">
        <v>429</v>
      </c>
      <c r="AR17" s="5">
        <f>AS17+AT17</f>
        <v>0</v>
      </c>
      <c r="AS17" s="5">
        <f>F17*AK17</f>
        <v>0</v>
      </c>
      <c r="AT17" s="5">
        <f>F17*AL17</f>
        <v>0</v>
      </c>
      <c r="AU17" s="9" t="s">
        <v>264</v>
      </c>
      <c r="AV17" s="9" t="s">
        <v>53</v>
      </c>
      <c r="AW17" s="4" t="s">
        <v>223</v>
      </c>
      <c r="AY17" s="5">
        <f>AS17+AT17</f>
        <v>0</v>
      </c>
      <c r="AZ17" s="5">
        <f>G17/(100-BA17)*100</f>
        <v>0</v>
      </c>
      <c r="BA17" s="5">
        <v>0</v>
      </c>
      <c r="BB17" s="5" t="e">
        <f>#REF!</f>
        <v>#REF!</v>
      </c>
      <c r="BD17" s="5">
        <f>F17*AK17</f>
        <v>0</v>
      </c>
      <c r="BE17" s="5">
        <f>F17*AL17</f>
        <v>0</v>
      </c>
      <c r="BF17" s="5">
        <f>F17*G17</f>
        <v>0</v>
      </c>
      <c r="BG17" s="5"/>
      <c r="BH17" s="5">
        <v>61</v>
      </c>
      <c r="BS17" s="5" t="str">
        <f>H17</f>
        <v>21</v>
      </c>
    </row>
    <row r="18" spans="1:71" ht="15" customHeight="1">
      <c r="A18" s="35" t="s">
        <v>46</v>
      </c>
      <c r="B18" s="26" t="s">
        <v>99</v>
      </c>
      <c r="C18" s="194" t="s">
        <v>431</v>
      </c>
      <c r="D18" s="194"/>
      <c r="E18" s="26" t="s">
        <v>102</v>
      </c>
      <c r="F18" s="5">
        <v>20</v>
      </c>
      <c r="G18" s="5">
        <v>0</v>
      </c>
      <c r="H18" s="9" t="s">
        <v>302</v>
      </c>
      <c r="I18" s="5">
        <f>F18*AK18</f>
        <v>0</v>
      </c>
      <c r="J18" s="5">
        <f>F18*AL18</f>
        <v>0</v>
      </c>
      <c r="K18" s="5">
        <f>F18*G18</f>
        <v>0</v>
      </c>
      <c r="L18" s="56" t="s">
        <v>189</v>
      </c>
      <c r="V18" s="5">
        <f>IF(AM18="5",BF18,0)</f>
        <v>0</v>
      </c>
      <c r="X18" s="5">
        <f>IF(AM18="1",BD18,0)</f>
        <v>0</v>
      </c>
      <c r="Y18" s="5">
        <f>IF(AM18="1",BE18,0)</f>
        <v>0</v>
      </c>
      <c r="Z18" s="5">
        <f>IF(AM18="7",BD18,0)</f>
        <v>0</v>
      </c>
      <c r="AA18" s="5">
        <f>IF(AM18="7",BE18,0)</f>
        <v>0</v>
      </c>
      <c r="AB18" s="5">
        <f>IF(AM18="2",BD18,0)</f>
        <v>0</v>
      </c>
      <c r="AC18" s="5">
        <f>IF(AM18="2",BE18,0)</f>
        <v>0</v>
      </c>
      <c r="AD18" s="5">
        <f>IF(AM18="0",BF18,0)</f>
        <v>0</v>
      </c>
      <c r="AE18" s="4" t="s">
        <v>470</v>
      </c>
      <c r="AF18" s="5">
        <f>IF(AJ18=0,K18,0)</f>
        <v>0</v>
      </c>
      <c r="AG18" s="5">
        <f>IF(AJ18=12,K18,0)</f>
        <v>0</v>
      </c>
      <c r="AH18" s="5">
        <f>IF(AJ18=21,K18,0)</f>
        <v>0</v>
      </c>
      <c r="AJ18" s="5">
        <v>21</v>
      </c>
      <c r="AK18" s="5">
        <f>G18*0.16361762867616</f>
        <v>0</v>
      </c>
      <c r="AL18" s="5">
        <f>G18*(1-0.16361762867616)</f>
        <v>0</v>
      </c>
      <c r="AM18" s="9" t="s">
        <v>429</v>
      </c>
      <c r="AR18" s="5">
        <f>AS18+AT18</f>
        <v>0</v>
      </c>
      <c r="AS18" s="5">
        <f>F18*AK18</f>
        <v>0</v>
      </c>
      <c r="AT18" s="5">
        <f>F18*AL18</f>
        <v>0</v>
      </c>
      <c r="AU18" s="9" t="s">
        <v>264</v>
      </c>
      <c r="AV18" s="9" t="s">
        <v>53</v>
      </c>
      <c r="AW18" s="4" t="s">
        <v>223</v>
      </c>
      <c r="AY18" s="5">
        <f>AS18+AT18</f>
        <v>0</v>
      </c>
      <c r="AZ18" s="5">
        <f>G18/(100-BA18)*100</f>
        <v>0</v>
      </c>
      <c r="BA18" s="5">
        <v>0</v>
      </c>
      <c r="BB18" s="5" t="e">
        <f>#REF!</f>
        <v>#REF!</v>
      </c>
      <c r="BD18" s="5">
        <f>F18*AK18</f>
        <v>0</v>
      </c>
      <c r="BE18" s="5">
        <f>F18*AL18</f>
        <v>0</v>
      </c>
      <c r="BF18" s="5">
        <f>F18*G18</f>
        <v>0</v>
      </c>
      <c r="BG18" s="5"/>
      <c r="BH18" s="5">
        <v>61</v>
      </c>
      <c r="BS18" s="5" t="str">
        <f>H18</f>
        <v>21</v>
      </c>
    </row>
    <row r="19" spans="1:43" ht="15" customHeight="1">
      <c r="A19" s="23" t="s">
        <v>293</v>
      </c>
      <c r="B19" s="61" t="s">
        <v>91</v>
      </c>
      <c r="C19" s="256" t="s">
        <v>438</v>
      </c>
      <c r="D19" s="256"/>
      <c r="E19" s="6" t="s">
        <v>401</v>
      </c>
      <c r="F19" s="6" t="s">
        <v>401</v>
      </c>
      <c r="G19" s="6" t="s">
        <v>401</v>
      </c>
      <c r="H19" s="6" t="s">
        <v>401</v>
      </c>
      <c r="I19" s="69">
        <f>SUM(I20:I22)</f>
        <v>0</v>
      </c>
      <c r="J19" s="69">
        <f>SUM(J20:J22)</f>
        <v>0</v>
      </c>
      <c r="K19" s="69">
        <f>SUM(K20:K22)</f>
        <v>0</v>
      </c>
      <c r="L19" s="55" t="s">
        <v>293</v>
      </c>
      <c r="AE19" s="4" t="s">
        <v>470</v>
      </c>
      <c r="AO19" s="69">
        <f>SUM(AF20:AF22)</f>
        <v>0</v>
      </c>
      <c r="AP19" s="69">
        <f>SUM(AG20:AG22)</f>
        <v>0</v>
      </c>
      <c r="AQ19" s="69">
        <f>SUM(AH20:AH22)</f>
        <v>0</v>
      </c>
    </row>
    <row r="20" spans="1:71" ht="15" customHeight="1">
      <c r="A20" s="35" t="s">
        <v>218</v>
      </c>
      <c r="B20" s="26" t="s">
        <v>81</v>
      </c>
      <c r="C20" s="194" t="s">
        <v>332</v>
      </c>
      <c r="D20" s="194"/>
      <c r="E20" s="26" t="s">
        <v>423</v>
      </c>
      <c r="F20" s="5">
        <v>273.8</v>
      </c>
      <c r="G20" s="5">
        <v>0</v>
      </c>
      <c r="H20" s="9" t="s">
        <v>302</v>
      </c>
      <c r="I20" s="5">
        <f>F20*AK20</f>
        <v>0</v>
      </c>
      <c r="J20" s="5">
        <f>F20*AL20</f>
        <v>0</v>
      </c>
      <c r="K20" s="5">
        <f>F20*G20</f>
        <v>0</v>
      </c>
      <c r="L20" s="56" t="s">
        <v>189</v>
      </c>
      <c r="V20" s="5">
        <f>IF(AM20="5",BF20,0)</f>
        <v>0</v>
      </c>
      <c r="X20" s="5">
        <f>IF(AM20="1",BD20,0)</f>
        <v>0</v>
      </c>
      <c r="Y20" s="5">
        <f>IF(AM20="1",BE20,0)</f>
        <v>0</v>
      </c>
      <c r="Z20" s="5">
        <f>IF(AM20="7",BD20,0)</f>
        <v>0</v>
      </c>
      <c r="AA20" s="5">
        <f>IF(AM20="7",BE20,0)</f>
        <v>0</v>
      </c>
      <c r="AB20" s="5">
        <f>IF(AM20="2",BD20,0)</f>
        <v>0</v>
      </c>
      <c r="AC20" s="5">
        <f>IF(AM20="2",BE20,0)</f>
        <v>0</v>
      </c>
      <c r="AD20" s="5">
        <f>IF(AM20="0",BF20,0)</f>
        <v>0</v>
      </c>
      <c r="AE20" s="4" t="s">
        <v>470</v>
      </c>
      <c r="AF20" s="5">
        <f>IF(AJ20=0,K20,0)</f>
        <v>0</v>
      </c>
      <c r="AG20" s="5">
        <f>IF(AJ20=12,K20,0)</f>
        <v>0</v>
      </c>
      <c r="AH20" s="5">
        <f>IF(AJ20=21,K20,0)</f>
        <v>0</v>
      </c>
      <c r="AJ20" s="5">
        <v>21</v>
      </c>
      <c r="AK20" s="5">
        <f>G20*0.847180528869664</f>
        <v>0</v>
      </c>
      <c r="AL20" s="5">
        <f>G20*(1-0.847180528869664)</f>
        <v>0</v>
      </c>
      <c r="AM20" s="9" t="s">
        <v>429</v>
      </c>
      <c r="AR20" s="5">
        <f>AS20+AT20</f>
        <v>0</v>
      </c>
      <c r="AS20" s="5">
        <f>F20*AK20</f>
        <v>0</v>
      </c>
      <c r="AT20" s="5">
        <f>F20*AL20</f>
        <v>0</v>
      </c>
      <c r="AU20" s="9" t="s">
        <v>397</v>
      </c>
      <c r="AV20" s="9" t="s">
        <v>53</v>
      </c>
      <c r="AW20" s="4" t="s">
        <v>223</v>
      </c>
      <c r="AY20" s="5">
        <f>AS20+AT20</f>
        <v>0</v>
      </c>
      <c r="AZ20" s="5">
        <f>G20/(100-BA20)*100</f>
        <v>0</v>
      </c>
      <c r="BA20" s="5">
        <v>0</v>
      </c>
      <c r="BB20" s="5" t="e">
        <f>#REF!</f>
        <v>#REF!</v>
      </c>
      <c r="BD20" s="5">
        <f>F20*AK20</f>
        <v>0</v>
      </c>
      <c r="BE20" s="5">
        <f>F20*AL20</f>
        <v>0</v>
      </c>
      <c r="BF20" s="5">
        <f>F20*G20</f>
        <v>0</v>
      </c>
      <c r="BG20" s="5"/>
      <c r="BH20" s="5">
        <v>63</v>
      </c>
      <c r="BS20" s="5" t="str">
        <f>H20</f>
        <v>21</v>
      </c>
    </row>
    <row r="21" spans="1:71" ht="15" customHeight="1">
      <c r="A21" s="35" t="s">
        <v>65</v>
      </c>
      <c r="B21" s="26" t="s">
        <v>115</v>
      </c>
      <c r="C21" s="194" t="s">
        <v>313</v>
      </c>
      <c r="D21" s="194"/>
      <c r="E21" s="26" t="s">
        <v>423</v>
      </c>
      <c r="F21" s="5">
        <v>1.368</v>
      </c>
      <c r="G21" s="5">
        <v>0</v>
      </c>
      <c r="H21" s="9" t="s">
        <v>302</v>
      </c>
      <c r="I21" s="5">
        <f>F21*AK21</f>
        <v>0</v>
      </c>
      <c r="J21" s="5">
        <f>F21*AL21</f>
        <v>0</v>
      </c>
      <c r="K21" s="5">
        <f>F21*G21</f>
        <v>0</v>
      </c>
      <c r="L21" s="56" t="s">
        <v>189</v>
      </c>
      <c r="V21" s="5">
        <f>IF(AM21="5",BF21,0)</f>
        <v>0</v>
      </c>
      <c r="X21" s="5">
        <f>IF(AM21="1",BD21,0)</f>
        <v>0</v>
      </c>
      <c r="Y21" s="5">
        <f>IF(AM21="1",BE21,0)</f>
        <v>0</v>
      </c>
      <c r="Z21" s="5">
        <f>IF(AM21="7",BD21,0)</f>
        <v>0</v>
      </c>
      <c r="AA21" s="5">
        <f>IF(AM21="7",BE21,0)</f>
        <v>0</v>
      </c>
      <c r="AB21" s="5">
        <f>IF(AM21="2",BD21,0)</f>
        <v>0</v>
      </c>
      <c r="AC21" s="5">
        <f>IF(AM21="2",BE21,0)</f>
        <v>0</v>
      </c>
      <c r="AD21" s="5">
        <f>IF(AM21="0",BF21,0)</f>
        <v>0</v>
      </c>
      <c r="AE21" s="4" t="s">
        <v>470</v>
      </c>
      <c r="AF21" s="5">
        <f>IF(AJ21=0,K21,0)</f>
        <v>0</v>
      </c>
      <c r="AG21" s="5">
        <f>IF(AJ21=12,K21,0)</f>
        <v>0</v>
      </c>
      <c r="AH21" s="5">
        <f>IF(AJ21=21,K21,0)</f>
        <v>0</v>
      </c>
      <c r="AJ21" s="5">
        <v>21</v>
      </c>
      <c r="AK21" s="5">
        <f>G21*0.873342007434944</f>
        <v>0</v>
      </c>
      <c r="AL21" s="5">
        <f>G21*(1-0.873342007434944)</f>
        <v>0</v>
      </c>
      <c r="AM21" s="9" t="s">
        <v>429</v>
      </c>
      <c r="AR21" s="5">
        <f>AS21+AT21</f>
        <v>0</v>
      </c>
      <c r="AS21" s="5">
        <f>F21*AK21</f>
        <v>0</v>
      </c>
      <c r="AT21" s="5">
        <f>F21*AL21</f>
        <v>0</v>
      </c>
      <c r="AU21" s="9" t="s">
        <v>397</v>
      </c>
      <c r="AV21" s="9" t="s">
        <v>53</v>
      </c>
      <c r="AW21" s="4" t="s">
        <v>223</v>
      </c>
      <c r="AY21" s="5">
        <f>AS21+AT21</f>
        <v>0</v>
      </c>
      <c r="AZ21" s="5">
        <f>G21/(100-BA21)*100</f>
        <v>0</v>
      </c>
      <c r="BA21" s="5">
        <v>0</v>
      </c>
      <c r="BB21" s="5" t="e">
        <f>#REF!</f>
        <v>#REF!</v>
      </c>
      <c r="BD21" s="5">
        <f>F21*AK21</f>
        <v>0</v>
      </c>
      <c r="BE21" s="5">
        <f>F21*AL21</f>
        <v>0</v>
      </c>
      <c r="BF21" s="5">
        <f>F21*G21</f>
        <v>0</v>
      </c>
      <c r="BG21" s="5"/>
      <c r="BH21" s="5">
        <v>63</v>
      </c>
      <c r="BS21" s="5" t="str">
        <f>H21</f>
        <v>21</v>
      </c>
    </row>
    <row r="22" spans="1:71" ht="15" customHeight="1">
      <c r="A22" s="35" t="s">
        <v>432</v>
      </c>
      <c r="B22" s="26" t="s">
        <v>284</v>
      </c>
      <c r="C22" s="194" t="s">
        <v>59</v>
      </c>
      <c r="D22" s="194"/>
      <c r="E22" s="26" t="s">
        <v>194</v>
      </c>
      <c r="F22" s="5">
        <v>33.46853</v>
      </c>
      <c r="G22" s="5">
        <v>0</v>
      </c>
      <c r="H22" s="9" t="s">
        <v>302</v>
      </c>
      <c r="I22" s="5">
        <f>F22*AK22</f>
        <v>0</v>
      </c>
      <c r="J22" s="5">
        <f>F22*AL22</f>
        <v>0</v>
      </c>
      <c r="K22" s="5">
        <f>F22*G22</f>
        <v>0</v>
      </c>
      <c r="L22" s="56" t="s">
        <v>189</v>
      </c>
      <c r="V22" s="5">
        <f>IF(AM22="5",BF22,0)</f>
        <v>0</v>
      </c>
      <c r="X22" s="5">
        <f>IF(AM22="1",BD22,0)</f>
        <v>0</v>
      </c>
      <c r="Y22" s="5">
        <f>IF(AM22="1",BE22,0)</f>
        <v>0</v>
      </c>
      <c r="Z22" s="5">
        <f>IF(AM22="7",BD22,0)</f>
        <v>0</v>
      </c>
      <c r="AA22" s="5">
        <f>IF(AM22="7",BE22,0)</f>
        <v>0</v>
      </c>
      <c r="AB22" s="5">
        <f>IF(AM22="2",BD22,0)</f>
        <v>0</v>
      </c>
      <c r="AC22" s="5">
        <f>IF(AM22="2",BE22,0)</f>
        <v>0</v>
      </c>
      <c r="AD22" s="5">
        <f>IF(AM22="0",BF22,0)</f>
        <v>0</v>
      </c>
      <c r="AE22" s="4" t="s">
        <v>470</v>
      </c>
      <c r="AF22" s="5">
        <f>IF(AJ22=0,K22,0)</f>
        <v>0</v>
      </c>
      <c r="AG22" s="5">
        <f>IF(AJ22=12,K22,0)</f>
        <v>0</v>
      </c>
      <c r="AH22" s="5">
        <f>IF(AJ22=21,K22,0)</f>
        <v>0</v>
      </c>
      <c r="AJ22" s="5">
        <v>21</v>
      </c>
      <c r="AK22" s="5">
        <f>G22*0</f>
        <v>0</v>
      </c>
      <c r="AL22" s="5">
        <f>G22*(1-0)</f>
        <v>0</v>
      </c>
      <c r="AM22" s="9" t="s">
        <v>218</v>
      </c>
      <c r="AR22" s="5">
        <f>AS22+AT22</f>
        <v>0</v>
      </c>
      <c r="AS22" s="5">
        <f>F22*AK22</f>
        <v>0</v>
      </c>
      <c r="AT22" s="5">
        <f>F22*AL22</f>
        <v>0</v>
      </c>
      <c r="AU22" s="9" t="s">
        <v>397</v>
      </c>
      <c r="AV22" s="9" t="s">
        <v>53</v>
      </c>
      <c r="AW22" s="4" t="s">
        <v>223</v>
      </c>
      <c r="AY22" s="5">
        <f>AS22+AT22</f>
        <v>0</v>
      </c>
      <c r="AZ22" s="5">
        <f>G22/(100-BA22)*100</f>
        <v>0</v>
      </c>
      <c r="BA22" s="5">
        <v>0</v>
      </c>
      <c r="BB22" s="5" t="e">
        <f>#REF!</f>
        <v>#REF!</v>
      </c>
      <c r="BD22" s="5">
        <f>F22*AK22</f>
        <v>0</v>
      </c>
      <c r="BE22" s="5">
        <f>F22*AL22</f>
        <v>0</v>
      </c>
      <c r="BF22" s="5">
        <f>F22*G22</f>
        <v>0</v>
      </c>
      <c r="BG22" s="5"/>
      <c r="BH22" s="5">
        <v>63</v>
      </c>
      <c r="BS22" s="5" t="str">
        <f>H22</f>
        <v>21</v>
      </c>
    </row>
    <row r="23" spans="1:43" ht="15" customHeight="1">
      <c r="A23" s="23" t="s">
        <v>293</v>
      </c>
      <c r="B23" s="61" t="s">
        <v>350</v>
      </c>
      <c r="C23" s="256" t="s">
        <v>369</v>
      </c>
      <c r="D23" s="256"/>
      <c r="E23" s="6" t="s">
        <v>401</v>
      </c>
      <c r="F23" s="6" t="s">
        <v>401</v>
      </c>
      <c r="G23" s="6" t="s">
        <v>401</v>
      </c>
      <c r="H23" s="6" t="s">
        <v>401</v>
      </c>
      <c r="I23" s="69">
        <f>SUM(I24:I27)</f>
        <v>0</v>
      </c>
      <c r="J23" s="69">
        <f>SUM(J24:J27)</f>
        <v>0</v>
      </c>
      <c r="K23" s="69">
        <f>SUM(K24:K27)</f>
        <v>0</v>
      </c>
      <c r="L23" s="55" t="s">
        <v>293</v>
      </c>
      <c r="AE23" s="4" t="s">
        <v>470</v>
      </c>
      <c r="AO23" s="69">
        <f>SUM(AF24:AF27)</f>
        <v>0</v>
      </c>
      <c r="AP23" s="69">
        <f>SUM(AG24:AG27)</f>
        <v>0</v>
      </c>
      <c r="AQ23" s="69">
        <f>SUM(AH24:AH27)</f>
        <v>0</v>
      </c>
    </row>
    <row r="24" spans="1:71" ht="15" customHeight="1">
      <c r="A24" s="35" t="s">
        <v>341</v>
      </c>
      <c r="B24" s="26" t="s">
        <v>204</v>
      </c>
      <c r="C24" s="194" t="s">
        <v>355</v>
      </c>
      <c r="D24" s="194"/>
      <c r="E24" s="26" t="s">
        <v>423</v>
      </c>
      <c r="F24" s="5">
        <v>273.8</v>
      </c>
      <c r="G24" s="5">
        <v>0</v>
      </c>
      <c r="H24" s="9" t="s">
        <v>302</v>
      </c>
      <c r="I24" s="5">
        <f>F24*AK24</f>
        <v>0</v>
      </c>
      <c r="J24" s="5">
        <f>F24*AL24</f>
        <v>0</v>
      </c>
      <c r="K24" s="5">
        <f>F24*G24</f>
        <v>0</v>
      </c>
      <c r="L24" s="56" t="s">
        <v>189</v>
      </c>
      <c r="V24" s="5">
        <f>IF(AM24="5",BF24,0)</f>
        <v>0</v>
      </c>
      <c r="X24" s="5">
        <f>IF(AM24="1",BD24,0)</f>
        <v>0</v>
      </c>
      <c r="Y24" s="5">
        <f>IF(AM24="1",BE24,0)</f>
        <v>0</v>
      </c>
      <c r="Z24" s="5">
        <f>IF(AM24="7",BD24,0)</f>
        <v>0</v>
      </c>
      <c r="AA24" s="5">
        <f>IF(AM24="7",BE24,0)</f>
        <v>0</v>
      </c>
      <c r="AB24" s="5">
        <f>IF(AM24="2",BD24,0)</f>
        <v>0</v>
      </c>
      <c r="AC24" s="5">
        <f>IF(AM24="2",BE24,0)</f>
        <v>0</v>
      </c>
      <c r="AD24" s="5">
        <f>IF(AM24="0",BF24,0)</f>
        <v>0</v>
      </c>
      <c r="AE24" s="4" t="s">
        <v>470</v>
      </c>
      <c r="AF24" s="5">
        <f>IF(AJ24=0,K24,0)</f>
        <v>0</v>
      </c>
      <c r="AG24" s="5">
        <f>IF(AJ24=12,K24,0)</f>
        <v>0</v>
      </c>
      <c r="AH24" s="5">
        <f>IF(AJ24=21,K24,0)</f>
        <v>0</v>
      </c>
      <c r="AJ24" s="5">
        <v>21</v>
      </c>
      <c r="AK24" s="5">
        <f>G24*0</f>
        <v>0</v>
      </c>
      <c r="AL24" s="5">
        <f>G24*(1-0)</f>
        <v>0</v>
      </c>
      <c r="AM24" s="9" t="s">
        <v>432</v>
      </c>
      <c r="AR24" s="5">
        <f>AS24+AT24</f>
        <v>0</v>
      </c>
      <c r="AS24" s="5">
        <f>F24*AK24</f>
        <v>0</v>
      </c>
      <c r="AT24" s="5">
        <f>F24*AL24</f>
        <v>0</v>
      </c>
      <c r="AU24" s="9" t="s">
        <v>334</v>
      </c>
      <c r="AV24" s="9" t="s">
        <v>10</v>
      </c>
      <c r="AW24" s="4" t="s">
        <v>223</v>
      </c>
      <c r="AY24" s="5">
        <f>AS24+AT24</f>
        <v>0</v>
      </c>
      <c r="AZ24" s="5">
        <f>G24/(100-BA24)*100</f>
        <v>0</v>
      </c>
      <c r="BA24" s="5">
        <v>0</v>
      </c>
      <c r="BB24" s="5" t="e">
        <f>#REF!</f>
        <v>#REF!</v>
      </c>
      <c r="BD24" s="5">
        <f>F24*AK24</f>
        <v>0</v>
      </c>
      <c r="BE24" s="5">
        <f>F24*AL24</f>
        <v>0</v>
      </c>
      <c r="BF24" s="5">
        <f>F24*G24</f>
        <v>0</v>
      </c>
      <c r="BG24" s="5"/>
      <c r="BH24" s="5">
        <v>713</v>
      </c>
      <c r="BS24" s="5" t="str">
        <f>H24</f>
        <v>21</v>
      </c>
    </row>
    <row r="25" spans="1:71" ht="15" customHeight="1">
      <c r="A25" s="35" t="s">
        <v>162</v>
      </c>
      <c r="B25" s="26" t="s">
        <v>125</v>
      </c>
      <c r="C25" s="194" t="s">
        <v>63</v>
      </c>
      <c r="D25" s="194"/>
      <c r="E25" s="26" t="s">
        <v>423</v>
      </c>
      <c r="F25" s="5">
        <v>276.8118</v>
      </c>
      <c r="G25" s="5">
        <v>0</v>
      </c>
      <c r="H25" s="9" t="s">
        <v>302</v>
      </c>
      <c r="I25" s="5">
        <f>F25*AK25</f>
        <v>0</v>
      </c>
      <c r="J25" s="5">
        <f>F25*AL25</f>
        <v>0</v>
      </c>
      <c r="K25" s="5">
        <f>F25*G25</f>
        <v>0</v>
      </c>
      <c r="L25" s="56" t="s">
        <v>189</v>
      </c>
      <c r="V25" s="5">
        <f>IF(AM25="5",BF25,0)</f>
        <v>0</v>
      </c>
      <c r="X25" s="5">
        <f>IF(AM25="1",BD25,0)</f>
        <v>0</v>
      </c>
      <c r="Y25" s="5">
        <f>IF(AM25="1",BE25,0)</f>
        <v>0</v>
      </c>
      <c r="Z25" s="5">
        <f>IF(AM25="7",BD25,0)</f>
        <v>0</v>
      </c>
      <c r="AA25" s="5">
        <f>IF(AM25="7",BE25,0)</f>
        <v>0</v>
      </c>
      <c r="AB25" s="5">
        <f>IF(AM25="2",BD25,0)</f>
        <v>0</v>
      </c>
      <c r="AC25" s="5">
        <f>IF(AM25="2",BE25,0)</f>
        <v>0</v>
      </c>
      <c r="AD25" s="5">
        <f>IF(AM25="0",BF25,0)</f>
        <v>0</v>
      </c>
      <c r="AE25" s="4" t="s">
        <v>470</v>
      </c>
      <c r="AF25" s="5">
        <f>IF(AJ25=0,K25,0)</f>
        <v>0</v>
      </c>
      <c r="AG25" s="5">
        <f>IF(AJ25=12,K25,0)</f>
        <v>0</v>
      </c>
      <c r="AH25" s="5">
        <f>IF(AJ25=21,K25,0)</f>
        <v>0</v>
      </c>
      <c r="AJ25" s="5">
        <v>21</v>
      </c>
      <c r="AK25" s="5">
        <f>G25*1</f>
        <v>0</v>
      </c>
      <c r="AL25" s="5">
        <f>G25*(1-1)</f>
        <v>0</v>
      </c>
      <c r="AM25" s="9" t="s">
        <v>432</v>
      </c>
      <c r="AR25" s="5">
        <f>AS25+AT25</f>
        <v>0</v>
      </c>
      <c r="AS25" s="5">
        <f>F25*AK25</f>
        <v>0</v>
      </c>
      <c r="AT25" s="5">
        <f>F25*AL25</f>
        <v>0</v>
      </c>
      <c r="AU25" s="9" t="s">
        <v>334</v>
      </c>
      <c r="AV25" s="9" t="s">
        <v>10</v>
      </c>
      <c r="AW25" s="4" t="s">
        <v>223</v>
      </c>
      <c r="AY25" s="5">
        <f>AS25+AT25</f>
        <v>0</v>
      </c>
      <c r="AZ25" s="5">
        <f>G25/(100-BA25)*100</f>
        <v>0</v>
      </c>
      <c r="BA25" s="5">
        <v>0</v>
      </c>
      <c r="BB25" s="5" t="e">
        <f>#REF!</f>
        <v>#REF!</v>
      </c>
      <c r="BD25" s="5">
        <f>F25*AK25</f>
        <v>0</v>
      </c>
      <c r="BE25" s="5">
        <f>F25*AL25</f>
        <v>0</v>
      </c>
      <c r="BF25" s="5">
        <f>F25*G25</f>
        <v>0</v>
      </c>
      <c r="BG25" s="5"/>
      <c r="BH25" s="5">
        <v>713</v>
      </c>
      <c r="BS25" s="5" t="str">
        <f>H25</f>
        <v>21</v>
      </c>
    </row>
    <row r="26" spans="1:71" ht="15" customHeight="1">
      <c r="A26" s="35" t="s">
        <v>237</v>
      </c>
      <c r="B26" s="26" t="s">
        <v>310</v>
      </c>
      <c r="C26" s="194" t="s">
        <v>451</v>
      </c>
      <c r="D26" s="194"/>
      <c r="E26" s="26" t="s">
        <v>423</v>
      </c>
      <c r="F26" s="5">
        <v>328.56</v>
      </c>
      <c r="G26" s="5">
        <v>0</v>
      </c>
      <c r="H26" s="9" t="s">
        <v>302</v>
      </c>
      <c r="I26" s="5">
        <f>F26*AK26</f>
        <v>0</v>
      </c>
      <c r="J26" s="5">
        <f>F26*AL26</f>
        <v>0</v>
      </c>
      <c r="K26" s="5">
        <f>F26*G26</f>
        <v>0</v>
      </c>
      <c r="L26" s="56" t="s">
        <v>189</v>
      </c>
      <c r="V26" s="5">
        <f>IF(AM26="5",BF26,0)</f>
        <v>0</v>
      </c>
      <c r="X26" s="5">
        <f>IF(AM26="1",BD26,0)</f>
        <v>0</v>
      </c>
      <c r="Y26" s="5">
        <f>IF(AM26="1",BE26,0)</f>
        <v>0</v>
      </c>
      <c r="Z26" s="5">
        <f>IF(AM26="7",BD26,0)</f>
        <v>0</v>
      </c>
      <c r="AA26" s="5">
        <f>IF(AM26="7",BE26,0)</f>
        <v>0</v>
      </c>
      <c r="AB26" s="5">
        <f>IF(AM26="2",BD26,0)</f>
        <v>0</v>
      </c>
      <c r="AC26" s="5">
        <f>IF(AM26="2",BE26,0)</f>
        <v>0</v>
      </c>
      <c r="AD26" s="5">
        <f>IF(AM26="0",BF26,0)</f>
        <v>0</v>
      </c>
      <c r="AE26" s="4" t="s">
        <v>470</v>
      </c>
      <c r="AF26" s="5">
        <f>IF(AJ26=0,K26,0)</f>
        <v>0</v>
      </c>
      <c r="AG26" s="5">
        <f>IF(AJ26=12,K26,0)</f>
        <v>0</v>
      </c>
      <c r="AH26" s="5">
        <f>IF(AJ26=21,K26,0)</f>
        <v>0</v>
      </c>
      <c r="AJ26" s="5">
        <v>21</v>
      </c>
      <c r="AK26" s="5">
        <f>G26*0.21157679489407</f>
        <v>0</v>
      </c>
      <c r="AL26" s="5">
        <f>G26*(1-0.21157679489407)</f>
        <v>0</v>
      </c>
      <c r="AM26" s="9" t="s">
        <v>432</v>
      </c>
      <c r="AR26" s="5">
        <f>AS26+AT26</f>
        <v>0</v>
      </c>
      <c r="AS26" s="5">
        <f>F26*AK26</f>
        <v>0</v>
      </c>
      <c r="AT26" s="5">
        <f>F26*AL26</f>
        <v>0</v>
      </c>
      <c r="AU26" s="9" t="s">
        <v>334</v>
      </c>
      <c r="AV26" s="9" t="s">
        <v>10</v>
      </c>
      <c r="AW26" s="4" t="s">
        <v>223</v>
      </c>
      <c r="AY26" s="5">
        <f>AS26+AT26</f>
        <v>0</v>
      </c>
      <c r="AZ26" s="5">
        <f>G26/(100-BA26)*100</f>
        <v>0</v>
      </c>
      <c r="BA26" s="5">
        <v>0</v>
      </c>
      <c r="BB26" s="5" t="e">
        <f>#REF!</f>
        <v>#REF!</v>
      </c>
      <c r="BD26" s="5">
        <f>F26*AK26</f>
        <v>0</v>
      </c>
      <c r="BE26" s="5">
        <f>F26*AL26</f>
        <v>0</v>
      </c>
      <c r="BF26" s="5">
        <f>F26*G26</f>
        <v>0</v>
      </c>
      <c r="BG26" s="5"/>
      <c r="BH26" s="5">
        <v>713</v>
      </c>
      <c r="BS26" s="5" t="str">
        <f>H26</f>
        <v>21</v>
      </c>
    </row>
    <row r="27" spans="1:71" ht="15" customHeight="1">
      <c r="A27" s="35" t="s">
        <v>360</v>
      </c>
      <c r="B27" s="26" t="s">
        <v>380</v>
      </c>
      <c r="C27" s="194" t="s">
        <v>233</v>
      </c>
      <c r="D27" s="194"/>
      <c r="E27" s="26" t="s">
        <v>381</v>
      </c>
      <c r="F27" s="5">
        <v>681.1651</v>
      </c>
      <c r="G27" s="5">
        <v>0</v>
      </c>
      <c r="H27" s="9" t="s">
        <v>302</v>
      </c>
      <c r="I27" s="5">
        <f>F27*AK27</f>
        <v>0</v>
      </c>
      <c r="J27" s="5">
        <f>F27*AL27</f>
        <v>0</v>
      </c>
      <c r="K27" s="5">
        <f>F27*G27</f>
        <v>0</v>
      </c>
      <c r="L27" s="56" t="s">
        <v>189</v>
      </c>
      <c r="V27" s="5">
        <f>IF(AM27="5",BF27,0)</f>
        <v>0</v>
      </c>
      <c r="X27" s="5">
        <f>IF(AM27="1",BD27,0)</f>
        <v>0</v>
      </c>
      <c r="Y27" s="5">
        <f>IF(AM27="1",BE27,0)</f>
        <v>0</v>
      </c>
      <c r="Z27" s="5">
        <f>IF(AM27="7",BD27,0)</f>
        <v>0</v>
      </c>
      <c r="AA27" s="5">
        <f>IF(AM27="7",BE27,0)</f>
        <v>0</v>
      </c>
      <c r="AB27" s="5">
        <f>IF(AM27="2",BD27,0)</f>
        <v>0</v>
      </c>
      <c r="AC27" s="5">
        <f>IF(AM27="2",BE27,0)</f>
        <v>0</v>
      </c>
      <c r="AD27" s="5">
        <f>IF(AM27="0",BF27,0)</f>
        <v>0</v>
      </c>
      <c r="AE27" s="4" t="s">
        <v>470</v>
      </c>
      <c r="AF27" s="5">
        <f>IF(AJ27=0,K27,0)</f>
        <v>0</v>
      </c>
      <c r="AG27" s="5">
        <f>IF(AJ27=12,K27,0)</f>
        <v>0</v>
      </c>
      <c r="AH27" s="5">
        <f>IF(AJ27=21,K27,0)</f>
        <v>0</v>
      </c>
      <c r="AJ27" s="5">
        <v>21</v>
      </c>
      <c r="AK27" s="5">
        <f>G27*0</f>
        <v>0</v>
      </c>
      <c r="AL27" s="5">
        <f>G27*(1-0)</f>
        <v>0</v>
      </c>
      <c r="AM27" s="9" t="s">
        <v>218</v>
      </c>
      <c r="AR27" s="5">
        <f>AS27+AT27</f>
        <v>0</v>
      </c>
      <c r="AS27" s="5">
        <f>F27*AK27</f>
        <v>0</v>
      </c>
      <c r="AT27" s="5">
        <f>F27*AL27</f>
        <v>0</v>
      </c>
      <c r="AU27" s="9" t="s">
        <v>334</v>
      </c>
      <c r="AV27" s="9" t="s">
        <v>10</v>
      </c>
      <c r="AW27" s="4" t="s">
        <v>223</v>
      </c>
      <c r="AY27" s="5">
        <f>AS27+AT27</f>
        <v>0</v>
      </c>
      <c r="AZ27" s="5">
        <f>G27/(100-BA27)*100</f>
        <v>0</v>
      </c>
      <c r="BA27" s="5">
        <v>0</v>
      </c>
      <c r="BB27" s="5" t="e">
        <f>#REF!</f>
        <v>#REF!</v>
      </c>
      <c r="BD27" s="5">
        <f>F27*AK27</f>
        <v>0</v>
      </c>
      <c r="BE27" s="5">
        <f>F27*AL27</f>
        <v>0</v>
      </c>
      <c r="BF27" s="5">
        <f>F27*G27</f>
        <v>0</v>
      </c>
      <c r="BG27" s="5"/>
      <c r="BH27" s="5">
        <v>713</v>
      </c>
      <c r="BS27" s="5" t="str">
        <f>H27</f>
        <v>21</v>
      </c>
    </row>
    <row r="28" spans="1:43" ht="15" customHeight="1">
      <c r="A28" s="23" t="s">
        <v>293</v>
      </c>
      <c r="B28" s="61" t="s">
        <v>442</v>
      </c>
      <c r="C28" s="256" t="s">
        <v>363</v>
      </c>
      <c r="D28" s="256"/>
      <c r="E28" s="6" t="s">
        <v>401</v>
      </c>
      <c r="F28" s="6" t="s">
        <v>401</v>
      </c>
      <c r="G28" s="6" t="s">
        <v>401</v>
      </c>
      <c r="H28" s="6" t="s">
        <v>401</v>
      </c>
      <c r="I28" s="69">
        <f>SUM(I29:I30)</f>
        <v>0</v>
      </c>
      <c r="J28" s="69">
        <f>SUM(J29:J30)</f>
        <v>0</v>
      </c>
      <c r="K28" s="69">
        <f>SUM(K29:K30)</f>
        <v>0</v>
      </c>
      <c r="L28" s="55" t="s">
        <v>293</v>
      </c>
      <c r="AE28" s="4" t="s">
        <v>470</v>
      </c>
      <c r="AO28" s="69">
        <f>SUM(AF29:AF30)</f>
        <v>0</v>
      </c>
      <c r="AP28" s="69">
        <f>SUM(AG29:AG30)</f>
        <v>0</v>
      </c>
      <c r="AQ28" s="69">
        <f>SUM(AH29:AH30)</f>
        <v>0</v>
      </c>
    </row>
    <row r="29" spans="1:71" ht="15" customHeight="1">
      <c r="A29" s="35" t="s">
        <v>314</v>
      </c>
      <c r="B29" s="26" t="s">
        <v>221</v>
      </c>
      <c r="C29" s="194" t="s">
        <v>163</v>
      </c>
      <c r="D29" s="194"/>
      <c r="E29" s="26" t="s">
        <v>102</v>
      </c>
      <c r="F29" s="5">
        <v>14</v>
      </c>
      <c r="G29" s="5">
        <v>0</v>
      </c>
      <c r="H29" s="9" t="s">
        <v>302</v>
      </c>
      <c r="I29" s="5">
        <f>F29*AK29</f>
        <v>0</v>
      </c>
      <c r="J29" s="5">
        <f>F29*AL29</f>
        <v>0</v>
      </c>
      <c r="K29" s="5">
        <f>F29*G29</f>
        <v>0</v>
      </c>
      <c r="L29" s="56" t="s">
        <v>189</v>
      </c>
      <c r="V29" s="5">
        <f>IF(AM29="5",BF29,0)</f>
        <v>0</v>
      </c>
      <c r="X29" s="5">
        <f>IF(AM29="1",BD29,0)</f>
        <v>0</v>
      </c>
      <c r="Y29" s="5">
        <f>IF(AM29="1",BE29,0)</f>
        <v>0</v>
      </c>
      <c r="Z29" s="5">
        <f>IF(AM29="7",BD29,0)</f>
        <v>0</v>
      </c>
      <c r="AA29" s="5">
        <f>IF(AM29="7",BE29,0)</f>
        <v>0</v>
      </c>
      <c r="AB29" s="5">
        <f>IF(AM29="2",BD29,0)</f>
        <v>0</v>
      </c>
      <c r="AC29" s="5">
        <f>IF(AM29="2",BE29,0)</f>
        <v>0</v>
      </c>
      <c r="AD29" s="5">
        <f>IF(AM29="0",BF29,0)</f>
        <v>0</v>
      </c>
      <c r="AE29" s="4" t="s">
        <v>470</v>
      </c>
      <c r="AF29" s="5">
        <f>IF(AJ29=0,K29,0)</f>
        <v>0</v>
      </c>
      <c r="AG29" s="5">
        <f>IF(AJ29=12,K29,0)</f>
        <v>0</v>
      </c>
      <c r="AH29" s="5">
        <f>IF(AJ29=21,K29,0)</f>
        <v>0</v>
      </c>
      <c r="AJ29" s="5">
        <v>21</v>
      </c>
      <c r="AK29" s="5">
        <f>G29*0.616549185735616</f>
        <v>0</v>
      </c>
      <c r="AL29" s="5">
        <f>G29*(1-0.616549185735616)</f>
        <v>0</v>
      </c>
      <c r="AM29" s="9" t="s">
        <v>432</v>
      </c>
      <c r="AR29" s="5">
        <f>AS29+AT29</f>
        <v>0</v>
      </c>
      <c r="AS29" s="5">
        <f>F29*AK29</f>
        <v>0</v>
      </c>
      <c r="AT29" s="5">
        <f>F29*AL29</f>
        <v>0</v>
      </c>
      <c r="AU29" s="9" t="s">
        <v>40</v>
      </c>
      <c r="AV29" s="9" t="s">
        <v>444</v>
      </c>
      <c r="AW29" s="4" t="s">
        <v>223</v>
      </c>
      <c r="AY29" s="5">
        <f>AS29+AT29</f>
        <v>0</v>
      </c>
      <c r="AZ29" s="5">
        <f>G29/(100-BA29)*100</f>
        <v>0</v>
      </c>
      <c r="BA29" s="5">
        <v>0</v>
      </c>
      <c r="BB29" s="5" t="e">
        <f>#REF!</f>
        <v>#REF!</v>
      </c>
      <c r="BD29" s="5">
        <f>F29*AK29</f>
        <v>0</v>
      </c>
      <c r="BE29" s="5">
        <f>F29*AL29</f>
        <v>0</v>
      </c>
      <c r="BF29" s="5">
        <f>F29*G29</f>
        <v>0</v>
      </c>
      <c r="BG29" s="5"/>
      <c r="BH29" s="5">
        <v>733</v>
      </c>
      <c r="BS29" s="5" t="str">
        <f>H29</f>
        <v>21</v>
      </c>
    </row>
    <row r="30" spans="1:71" ht="15" customHeight="1">
      <c r="A30" s="35" t="s">
        <v>126</v>
      </c>
      <c r="B30" s="26" t="s">
        <v>18</v>
      </c>
      <c r="C30" s="194" t="s">
        <v>113</v>
      </c>
      <c r="D30" s="194"/>
      <c r="E30" s="26" t="s">
        <v>381</v>
      </c>
      <c r="F30" s="5">
        <v>40.3186</v>
      </c>
      <c r="G30" s="5">
        <v>0</v>
      </c>
      <c r="H30" s="9" t="s">
        <v>302</v>
      </c>
      <c r="I30" s="5">
        <f>F30*AK30</f>
        <v>0</v>
      </c>
      <c r="J30" s="5">
        <f>F30*AL30</f>
        <v>0</v>
      </c>
      <c r="K30" s="5">
        <f>F30*G30</f>
        <v>0</v>
      </c>
      <c r="L30" s="56" t="s">
        <v>189</v>
      </c>
      <c r="V30" s="5">
        <f>IF(AM30="5",BF30,0)</f>
        <v>0</v>
      </c>
      <c r="X30" s="5">
        <f>IF(AM30="1",BD30,0)</f>
        <v>0</v>
      </c>
      <c r="Y30" s="5">
        <f>IF(AM30="1",BE30,0)</f>
        <v>0</v>
      </c>
      <c r="Z30" s="5">
        <f>IF(AM30="7",BD30,0)</f>
        <v>0</v>
      </c>
      <c r="AA30" s="5">
        <f>IF(AM30="7",BE30,0)</f>
        <v>0</v>
      </c>
      <c r="AB30" s="5">
        <f>IF(AM30="2",BD30,0)</f>
        <v>0</v>
      </c>
      <c r="AC30" s="5">
        <f>IF(AM30="2",BE30,0)</f>
        <v>0</v>
      </c>
      <c r="AD30" s="5">
        <f>IF(AM30="0",BF30,0)</f>
        <v>0</v>
      </c>
      <c r="AE30" s="4" t="s">
        <v>470</v>
      </c>
      <c r="AF30" s="5">
        <f>IF(AJ30=0,K30,0)</f>
        <v>0</v>
      </c>
      <c r="AG30" s="5">
        <f>IF(AJ30=12,K30,0)</f>
        <v>0</v>
      </c>
      <c r="AH30" s="5">
        <f>IF(AJ30=21,K30,0)</f>
        <v>0</v>
      </c>
      <c r="AJ30" s="5">
        <v>21</v>
      </c>
      <c r="AK30" s="5">
        <f>G30*0</f>
        <v>0</v>
      </c>
      <c r="AL30" s="5">
        <f>G30*(1-0)</f>
        <v>0</v>
      </c>
      <c r="AM30" s="9" t="s">
        <v>218</v>
      </c>
      <c r="AR30" s="5">
        <f>AS30+AT30</f>
        <v>0</v>
      </c>
      <c r="AS30" s="5">
        <f>F30*AK30</f>
        <v>0</v>
      </c>
      <c r="AT30" s="5">
        <f>F30*AL30</f>
        <v>0</v>
      </c>
      <c r="AU30" s="9" t="s">
        <v>40</v>
      </c>
      <c r="AV30" s="9" t="s">
        <v>444</v>
      </c>
      <c r="AW30" s="4" t="s">
        <v>223</v>
      </c>
      <c r="AY30" s="5">
        <f>AS30+AT30</f>
        <v>0</v>
      </c>
      <c r="AZ30" s="5">
        <f>G30/(100-BA30)*100</f>
        <v>0</v>
      </c>
      <c r="BA30" s="5">
        <v>0</v>
      </c>
      <c r="BB30" s="5" t="e">
        <f>#REF!</f>
        <v>#REF!</v>
      </c>
      <c r="BD30" s="5">
        <f>F30*AK30</f>
        <v>0</v>
      </c>
      <c r="BE30" s="5">
        <f>F30*AL30</f>
        <v>0</v>
      </c>
      <c r="BF30" s="5">
        <f>F30*G30</f>
        <v>0</v>
      </c>
      <c r="BG30" s="5"/>
      <c r="BH30" s="5">
        <v>733</v>
      </c>
      <c r="BS30" s="5" t="str">
        <f>H30</f>
        <v>21</v>
      </c>
    </row>
    <row r="31" spans="1:43" ht="15" customHeight="1">
      <c r="A31" s="23" t="s">
        <v>293</v>
      </c>
      <c r="B31" s="61" t="s">
        <v>448</v>
      </c>
      <c r="C31" s="256" t="s">
        <v>321</v>
      </c>
      <c r="D31" s="256"/>
      <c r="E31" s="6" t="s">
        <v>401</v>
      </c>
      <c r="F31" s="6" t="s">
        <v>401</v>
      </c>
      <c r="G31" s="6" t="s">
        <v>401</v>
      </c>
      <c r="H31" s="6" t="s">
        <v>401</v>
      </c>
      <c r="I31" s="69">
        <f>SUM(I32:I34)</f>
        <v>0</v>
      </c>
      <c r="J31" s="69">
        <f>SUM(J32:J34)</f>
        <v>0</v>
      </c>
      <c r="K31" s="69">
        <f>SUM(K32:K34)</f>
        <v>0</v>
      </c>
      <c r="L31" s="55" t="s">
        <v>293</v>
      </c>
      <c r="AE31" s="4" t="s">
        <v>470</v>
      </c>
      <c r="AO31" s="69">
        <f>SUM(AF32:AF34)</f>
        <v>0</v>
      </c>
      <c r="AP31" s="69">
        <f>SUM(AG32:AG34)</f>
        <v>0</v>
      </c>
      <c r="AQ31" s="69">
        <f>SUM(AH32:AH34)</f>
        <v>0</v>
      </c>
    </row>
    <row r="32" spans="1:71" ht="15" customHeight="1">
      <c r="A32" s="35" t="s">
        <v>242</v>
      </c>
      <c r="B32" s="26" t="s">
        <v>155</v>
      </c>
      <c r="C32" s="194" t="s">
        <v>8</v>
      </c>
      <c r="D32" s="194"/>
      <c r="E32" s="26" t="s">
        <v>423</v>
      </c>
      <c r="F32" s="5">
        <v>18.88</v>
      </c>
      <c r="G32" s="5">
        <v>0</v>
      </c>
      <c r="H32" s="9" t="s">
        <v>302</v>
      </c>
      <c r="I32" s="5">
        <f>F32*AK32</f>
        <v>0</v>
      </c>
      <c r="J32" s="5">
        <f>F32*AL32</f>
        <v>0</v>
      </c>
      <c r="K32" s="5">
        <f>F32*G32</f>
        <v>0</v>
      </c>
      <c r="L32" s="56" t="s">
        <v>189</v>
      </c>
      <c r="V32" s="5">
        <f>IF(AM32="5",BF32,0)</f>
        <v>0</v>
      </c>
      <c r="X32" s="5">
        <f>IF(AM32="1",BD32,0)</f>
        <v>0</v>
      </c>
      <c r="Y32" s="5">
        <f>IF(AM32="1",BE32,0)</f>
        <v>0</v>
      </c>
      <c r="Z32" s="5">
        <f>IF(AM32="7",BD32,0)</f>
        <v>0</v>
      </c>
      <c r="AA32" s="5">
        <f>IF(AM32="7",BE32,0)</f>
        <v>0</v>
      </c>
      <c r="AB32" s="5">
        <f>IF(AM32="2",BD32,0)</f>
        <v>0</v>
      </c>
      <c r="AC32" s="5">
        <f>IF(AM32="2",BE32,0)</f>
        <v>0</v>
      </c>
      <c r="AD32" s="5">
        <f>IF(AM32="0",BF32,0)</f>
        <v>0</v>
      </c>
      <c r="AE32" s="4" t="s">
        <v>470</v>
      </c>
      <c r="AF32" s="5">
        <f>IF(AJ32=0,K32,0)</f>
        <v>0</v>
      </c>
      <c r="AG32" s="5">
        <f>IF(AJ32=12,K32,0)</f>
        <v>0</v>
      </c>
      <c r="AH32" s="5">
        <f>IF(AJ32=21,K32,0)</f>
        <v>0</v>
      </c>
      <c r="AJ32" s="5">
        <v>21</v>
      </c>
      <c r="AK32" s="5">
        <f>G32*0</f>
        <v>0</v>
      </c>
      <c r="AL32" s="5">
        <f>G32*(1-0)</f>
        <v>0</v>
      </c>
      <c r="AM32" s="9" t="s">
        <v>432</v>
      </c>
      <c r="AR32" s="5">
        <f>AS32+AT32</f>
        <v>0</v>
      </c>
      <c r="AS32" s="5">
        <f>F32*AK32</f>
        <v>0</v>
      </c>
      <c r="AT32" s="5">
        <f>F32*AL32</f>
        <v>0</v>
      </c>
      <c r="AU32" s="9" t="s">
        <v>231</v>
      </c>
      <c r="AV32" s="9" t="s">
        <v>444</v>
      </c>
      <c r="AW32" s="4" t="s">
        <v>223</v>
      </c>
      <c r="AY32" s="5">
        <f>AS32+AT32</f>
        <v>0</v>
      </c>
      <c r="AZ32" s="5">
        <f>G32/(100-BA32)*100</f>
        <v>0</v>
      </c>
      <c r="BA32" s="5">
        <v>0</v>
      </c>
      <c r="BB32" s="5" t="e">
        <f>#REF!</f>
        <v>#REF!</v>
      </c>
      <c r="BD32" s="5">
        <f>F32*AK32</f>
        <v>0</v>
      </c>
      <c r="BE32" s="5">
        <f>F32*AL32</f>
        <v>0</v>
      </c>
      <c r="BF32" s="5">
        <f>F32*G32</f>
        <v>0</v>
      </c>
      <c r="BG32" s="5"/>
      <c r="BH32" s="5">
        <v>735</v>
      </c>
      <c r="BS32" s="5" t="str">
        <f>H32</f>
        <v>21</v>
      </c>
    </row>
    <row r="33" spans="1:71" ht="15" customHeight="1">
      <c r="A33" s="35" t="s">
        <v>164</v>
      </c>
      <c r="B33" s="26" t="s">
        <v>105</v>
      </c>
      <c r="C33" s="194" t="s">
        <v>86</v>
      </c>
      <c r="D33" s="194"/>
      <c r="E33" s="26" t="s">
        <v>423</v>
      </c>
      <c r="F33" s="5">
        <v>18.88</v>
      </c>
      <c r="G33" s="5">
        <v>0</v>
      </c>
      <c r="H33" s="9" t="s">
        <v>302</v>
      </c>
      <c r="I33" s="5">
        <f>F33*AK33</f>
        <v>0</v>
      </c>
      <c r="J33" s="5">
        <f>F33*AL33</f>
        <v>0</v>
      </c>
      <c r="K33" s="5">
        <f>F33*G33</f>
        <v>0</v>
      </c>
      <c r="L33" s="56" t="s">
        <v>189</v>
      </c>
      <c r="V33" s="5">
        <f>IF(AM33="5",BF33,0)</f>
        <v>0</v>
      </c>
      <c r="X33" s="5">
        <f>IF(AM33="1",BD33,0)</f>
        <v>0</v>
      </c>
      <c r="Y33" s="5">
        <f>IF(AM33="1",BE33,0)</f>
        <v>0</v>
      </c>
      <c r="Z33" s="5">
        <f>IF(AM33="7",BD33,0)</f>
        <v>0</v>
      </c>
      <c r="AA33" s="5">
        <f>IF(AM33="7",BE33,0)</f>
        <v>0</v>
      </c>
      <c r="AB33" s="5">
        <f>IF(AM33="2",BD33,0)</f>
        <v>0</v>
      </c>
      <c r="AC33" s="5">
        <f>IF(AM33="2",BE33,0)</f>
        <v>0</v>
      </c>
      <c r="AD33" s="5">
        <f>IF(AM33="0",BF33,0)</f>
        <v>0</v>
      </c>
      <c r="AE33" s="4" t="s">
        <v>470</v>
      </c>
      <c r="AF33" s="5">
        <f>IF(AJ33=0,K33,0)</f>
        <v>0</v>
      </c>
      <c r="AG33" s="5">
        <f>IF(AJ33=12,K33,0)</f>
        <v>0</v>
      </c>
      <c r="AH33" s="5">
        <f>IF(AJ33=21,K33,0)</f>
        <v>0</v>
      </c>
      <c r="AJ33" s="5">
        <v>21</v>
      </c>
      <c r="AK33" s="5">
        <f>G33*0.0157670691795508</f>
        <v>0</v>
      </c>
      <c r="AL33" s="5">
        <f>G33*(1-0.0157670691795508)</f>
        <v>0</v>
      </c>
      <c r="AM33" s="9" t="s">
        <v>432</v>
      </c>
      <c r="AR33" s="5">
        <f>AS33+AT33</f>
        <v>0</v>
      </c>
      <c r="AS33" s="5">
        <f>F33*AK33</f>
        <v>0</v>
      </c>
      <c r="AT33" s="5">
        <f>F33*AL33</f>
        <v>0</v>
      </c>
      <c r="AU33" s="9" t="s">
        <v>231</v>
      </c>
      <c r="AV33" s="9" t="s">
        <v>444</v>
      </c>
      <c r="AW33" s="4" t="s">
        <v>223</v>
      </c>
      <c r="AY33" s="5">
        <f>AS33+AT33</f>
        <v>0</v>
      </c>
      <c r="AZ33" s="5">
        <f>G33/(100-BA33)*100</f>
        <v>0</v>
      </c>
      <c r="BA33" s="5">
        <v>0</v>
      </c>
      <c r="BB33" s="5" t="e">
        <f>#REF!</f>
        <v>#REF!</v>
      </c>
      <c r="BD33" s="5">
        <f>F33*AK33</f>
        <v>0</v>
      </c>
      <c r="BE33" s="5">
        <f>F33*AL33</f>
        <v>0</v>
      </c>
      <c r="BF33" s="5">
        <f>F33*G33</f>
        <v>0</v>
      </c>
      <c r="BG33" s="5"/>
      <c r="BH33" s="5">
        <v>735</v>
      </c>
      <c r="BS33" s="5" t="str">
        <f>H33</f>
        <v>21</v>
      </c>
    </row>
    <row r="34" spans="1:71" ht="15" customHeight="1">
      <c r="A34" s="35" t="s">
        <v>35</v>
      </c>
      <c r="B34" s="26" t="s">
        <v>385</v>
      </c>
      <c r="C34" s="194" t="s">
        <v>372</v>
      </c>
      <c r="D34" s="194"/>
      <c r="E34" s="26" t="s">
        <v>381</v>
      </c>
      <c r="F34" s="5">
        <v>27.359</v>
      </c>
      <c r="G34" s="5">
        <v>0</v>
      </c>
      <c r="H34" s="9" t="s">
        <v>302</v>
      </c>
      <c r="I34" s="5">
        <f>F34*AK34</f>
        <v>0</v>
      </c>
      <c r="J34" s="5">
        <f>F34*AL34</f>
        <v>0</v>
      </c>
      <c r="K34" s="5">
        <f>F34*G34</f>
        <v>0</v>
      </c>
      <c r="L34" s="56" t="s">
        <v>189</v>
      </c>
      <c r="V34" s="5">
        <f>IF(AM34="5",BF34,0)</f>
        <v>0</v>
      </c>
      <c r="X34" s="5">
        <f>IF(AM34="1",BD34,0)</f>
        <v>0</v>
      </c>
      <c r="Y34" s="5">
        <f>IF(AM34="1",BE34,0)</f>
        <v>0</v>
      </c>
      <c r="Z34" s="5">
        <f>IF(AM34="7",BD34,0)</f>
        <v>0</v>
      </c>
      <c r="AA34" s="5">
        <f>IF(AM34="7",BE34,0)</f>
        <v>0</v>
      </c>
      <c r="AB34" s="5">
        <f>IF(AM34="2",BD34,0)</f>
        <v>0</v>
      </c>
      <c r="AC34" s="5">
        <f>IF(AM34="2",BE34,0)</f>
        <v>0</v>
      </c>
      <c r="AD34" s="5">
        <f>IF(AM34="0",BF34,0)</f>
        <v>0</v>
      </c>
      <c r="AE34" s="4" t="s">
        <v>470</v>
      </c>
      <c r="AF34" s="5">
        <f>IF(AJ34=0,K34,0)</f>
        <v>0</v>
      </c>
      <c r="AG34" s="5">
        <f>IF(AJ34=12,K34,0)</f>
        <v>0</v>
      </c>
      <c r="AH34" s="5">
        <f>IF(AJ34=21,K34,0)</f>
        <v>0</v>
      </c>
      <c r="AJ34" s="5">
        <v>21</v>
      </c>
      <c r="AK34" s="5">
        <f>G34*0</f>
        <v>0</v>
      </c>
      <c r="AL34" s="5">
        <f>G34*(1-0)</f>
        <v>0</v>
      </c>
      <c r="AM34" s="9" t="s">
        <v>218</v>
      </c>
      <c r="AR34" s="5">
        <f>AS34+AT34</f>
        <v>0</v>
      </c>
      <c r="AS34" s="5">
        <f>F34*AK34</f>
        <v>0</v>
      </c>
      <c r="AT34" s="5">
        <f>F34*AL34</f>
        <v>0</v>
      </c>
      <c r="AU34" s="9" t="s">
        <v>231</v>
      </c>
      <c r="AV34" s="9" t="s">
        <v>444</v>
      </c>
      <c r="AW34" s="4" t="s">
        <v>223</v>
      </c>
      <c r="AY34" s="5">
        <f>AS34+AT34</f>
        <v>0</v>
      </c>
      <c r="AZ34" s="5">
        <f>G34/(100-BA34)*100</f>
        <v>0</v>
      </c>
      <c r="BA34" s="5">
        <v>0</v>
      </c>
      <c r="BB34" s="5" t="e">
        <f>#REF!</f>
        <v>#REF!</v>
      </c>
      <c r="BD34" s="5">
        <f>F34*AK34</f>
        <v>0</v>
      </c>
      <c r="BE34" s="5">
        <f>F34*AL34</f>
        <v>0</v>
      </c>
      <c r="BF34" s="5">
        <f>F34*G34</f>
        <v>0</v>
      </c>
      <c r="BG34" s="5"/>
      <c r="BH34" s="5">
        <v>735</v>
      </c>
      <c r="BS34" s="5" t="str">
        <f>H34</f>
        <v>21</v>
      </c>
    </row>
    <row r="35" spans="1:43" ht="15" customHeight="1">
      <c r="A35" s="23" t="s">
        <v>293</v>
      </c>
      <c r="B35" s="61" t="s">
        <v>175</v>
      </c>
      <c r="C35" s="256" t="s">
        <v>197</v>
      </c>
      <c r="D35" s="256"/>
      <c r="E35" s="6" t="s">
        <v>401</v>
      </c>
      <c r="F35" s="6" t="s">
        <v>401</v>
      </c>
      <c r="G35" s="6" t="s">
        <v>401</v>
      </c>
      <c r="H35" s="6" t="s">
        <v>401</v>
      </c>
      <c r="I35" s="69">
        <f>SUM(I36:I40)</f>
        <v>0</v>
      </c>
      <c r="J35" s="69">
        <f>SUM(J36:J40)</f>
        <v>0</v>
      </c>
      <c r="K35" s="69">
        <f>SUM(K36:K40)</f>
        <v>0</v>
      </c>
      <c r="L35" s="55" t="s">
        <v>293</v>
      </c>
      <c r="AE35" s="4" t="s">
        <v>470</v>
      </c>
      <c r="AO35" s="69">
        <f>SUM(AF36:AF40)</f>
        <v>0</v>
      </c>
      <c r="AP35" s="69">
        <f>SUM(AG36:AG40)</f>
        <v>0</v>
      </c>
      <c r="AQ35" s="69">
        <f>SUM(AH36:AH40)</f>
        <v>0</v>
      </c>
    </row>
    <row r="36" spans="1:71" ht="15" customHeight="1">
      <c r="A36" s="35" t="s">
        <v>296</v>
      </c>
      <c r="B36" s="26" t="s">
        <v>267</v>
      </c>
      <c r="C36" s="194" t="s">
        <v>22</v>
      </c>
      <c r="D36" s="194"/>
      <c r="E36" s="26" t="s">
        <v>102</v>
      </c>
      <c r="F36" s="5">
        <v>2</v>
      </c>
      <c r="G36" s="5">
        <v>0</v>
      </c>
      <c r="H36" s="9" t="s">
        <v>302</v>
      </c>
      <c r="I36" s="5">
        <f>F36*AK36</f>
        <v>0</v>
      </c>
      <c r="J36" s="5">
        <f>F36*AL36</f>
        <v>0</v>
      </c>
      <c r="K36" s="5">
        <f>F36*G36</f>
        <v>0</v>
      </c>
      <c r="L36" s="56" t="s">
        <v>189</v>
      </c>
      <c r="V36" s="5">
        <f>IF(AM36="5",BF36,0)</f>
        <v>0</v>
      </c>
      <c r="X36" s="5">
        <f>IF(AM36="1",BD36,0)</f>
        <v>0</v>
      </c>
      <c r="Y36" s="5">
        <f>IF(AM36="1",BE36,0)</f>
        <v>0</v>
      </c>
      <c r="Z36" s="5">
        <f>IF(AM36="7",BD36,0)</f>
        <v>0</v>
      </c>
      <c r="AA36" s="5">
        <f>IF(AM36="7",BE36,0)</f>
        <v>0</v>
      </c>
      <c r="AB36" s="5">
        <f>IF(AM36="2",BD36,0)</f>
        <v>0</v>
      </c>
      <c r="AC36" s="5">
        <f>IF(AM36="2",BE36,0)</f>
        <v>0</v>
      </c>
      <c r="AD36" s="5">
        <f>IF(AM36="0",BF36,0)</f>
        <v>0</v>
      </c>
      <c r="AE36" s="4" t="s">
        <v>470</v>
      </c>
      <c r="AF36" s="5">
        <f>IF(AJ36=0,K36,0)</f>
        <v>0</v>
      </c>
      <c r="AG36" s="5">
        <f>IF(AJ36=12,K36,0)</f>
        <v>0</v>
      </c>
      <c r="AH36" s="5">
        <f>IF(AJ36=21,K36,0)</f>
        <v>0</v>
      </c>
      <c r="AJ36" s="5">
        <v>21</v>
      </c>
      <c r="AK36" s="5">
        <f>G36*0.0376428571428571</f>
        <v>0</v>
      </c>
      <c r="AL36" s="5">
        <f>G36*(1-0.0376428571428571)</f>
        <v>0</v>
      </c>
      <c r="AM36" s="9" t="s">
        <v>432</v>
      </c>
      <c r="AR36" s="5">
        <f>AS36+AT36</f>
        <v>0</v>
      </c>
      <c r="AS36" s="5">
        <f>F36*AK36</f>
        <v>0</v>
      </c>
      <c r="AT36" s="5">
        <f>F36*AL36</f>
        <v>0</v>
      </c>
      <c r="AU36" s="9" t="s">
        <v>44</v>
      </c>
      <c r="AV36" s="9" t="s">
        <v>96</v>
      </c>
      <c r="AW36" s="4" t="s">
        <v>223</v>
      </c>
      <c r="AY36" s="5">
        <f>AS36+AT36</f>
        <v>0</v>
      </c>
      <c r="AZ36" s="5">
        <f>G36/(100-BA36)*100</f>
        <v>0</v>
      </c>
      <c r="BA36" s="5">
        <v>0</v>
      </c>
      <c r="BB36" s="5" t="e">
        <f>#REF!</f>
        <v>#REF!</v>
      </c>
      <c r="BD36" s="5">
        <f>F36*AK36</f>
        <v>0</v>
      </c>
      <c r="BE36" s="5">
        <f>F36*AL36</f>
        <v>0</v>
      </c>
      <c r="BF36" s="5">
        <f>F36*G36</f>
        <v>0</v>
      </c>
      <c r="BG36" s="5"/>
      <c r="BH36" s="5">
        <v>766</v>
      </c>
      <c r="BS36" s="5" t="str">
        <f>H36</f>
        <v>21</v>
      </c>
    </row>
    <row r="37" spans="1:71" ht="15" customHeight="1">
      <c r="A37" s="35" t="s">
        <v>346</v>
      </c>
      <c r="B37" s="26" t="s">
        <v>136</v>
      </c>
      <c r="C37" s="194" t="s">
        <v>433</v>
      </c>
      <c r="D37" s="194"/>
      <c r="E37" s="26" t="s">
        <v>102</v>
      </c>
      <c r="F37" s="5">
        <v>2</v>
      </c>
      <c r="G37" s="5">
        <v>0</v>
      </c>
      <c r="H37" s="9" t="s">
        <v>302</v>
      </c>
      <c r="I37" s="5">
        <f>F37*AK37</f>
        <v>0</v>
      </c>
      <c r="J37" s="5">
        <f>F37*AL37</f>
        <v>0</v>
      </c>
      <c r="K37" s="5">
        <f>F37*G37</f>
        <v>0</v>
      </c>
      <c r="L37" s="56" t="s">
        <v>189</v>
      </c>
      <c r="V37" s="5">
        <f>IF(AM37="5",BF37,0)</f>
        <v>0</v>
      </c>
      <c r="X37" s="5">
        <f>IF(AM37="1",BD37,0)</f>
        <v>0</v>
      </c>
      <c r="Y37" s="5">
        <f>IF(AM37="1",BE37,0)</f>
        <v>0</v>
      </c>
      <c r="Z37" s="5">
        <f>IF(AM37="7",BD37,0)</f>
        <v>0</v>
      </c>
      <c r="AA37" s="5">
        <f>IF(AM37="7",BE37,0)</f>
        <v>0</v>
      </c>
      <c r="AB37" s="5">
        <f>IF(AM37="2",BD37,0)</f>
        <v>0</v>
      </c>
      <c r="AC37" s="5">
        <f>IF(AM37="2",BE37,0)</f>
        <v>0</v>
      </c>
      <c r="AD37" s="5">
        <f>IF(AM37="0",BF37,0)</f>
        <v>0</v>
      </c>
      <c r="AE37" s="4" t="s">
        <v>470</v>
      </c>
      <c r="AF37" s="5">
        <f>IF(AJ37=0,K37,0)</f>
        <v>0</v>
      </c>
      <c r="AG37" s="5">
        <f>IF(AJ37=12,K37,0)</f>
        <v>0</v>
      </c>
      <c r="AH37" s="5">
        <f>IF(AJ37=21,K37,0)</f>
        <v>0</v>
      </c>
      <c r="AJ37" s="5">
        <v>21</v>
      </c>
      <c r="AK37" s="5">
        <f>G37*0.662427133015368</f>
        <v>0</v>
      </c>
      <c r="AL37" s="5">
        <f>G37*(1-0.662427133015368)</f>
        <v>0</v>
      </c>
      <c r="AM37" s="9" t="s">
        <v>432</v>
      </c>
      <c r="AR37" s="5">
        <f>AS37+AT37</f>
        <v>0</v>
      </c>
      <c r="AS37" s="5">
        <f>F37*AK37</f>
        <v>0</v>
      </c>
      <c r="AT37" s="5">
        <f>F37*AL37</f>
        <v>0</v>
      </c>
      <c r="AU37" s="9" t="s">
        <v>44</v>
      </c>
      <c r="AV37" s="9" t="s">
        <v>96</v>
      </c>
      <c r="AW37" s="4" t="s">
        <v>223</v>
      </c>
      <c r="AY37" s="5">
        <f>AS37+AT37</f>
        <v>0</v>
      </c>
      <c r="AZ37" s="5">
        <f>G37/(100-BA37)*100</f>
        <v>0</v>
      </c>
      <c r="BA37" s="5">
        <v>0</v>
      </c>
      <c r="BB37" s="5" t="e">
        <f>#REF!</f>
        <v>#REF!</v>
      </c>
      <c r="BD37" s="5">
        <f>F37*AK37</f>
        <v>0</v>
      </c>
      <c r="BE37" s="5">
        <f>F37*AL37</f>
        <v>0</v>
      </c>
      <c r="BF37" s="5">
        <f>F37*G37</f>
        <v>0</v>
      </c>
      <c r="BG37" s="5"/>
      <c r="BH37" s="5">
        <v>766</v>
      </c>
      <c r="BS37" s="5" t="str">
        <f>H37</f>
        <v>21</v>
      </c>
    </row>
    <row r="38" spans="1:71" ht="15" customHeight="1">
      <c r="A38" s="35" t="s">
        <v>268</v>
      </c>
      <c r="B38" s="26" t="s">
        <v>165</v>
      </c>
      <c r="C38" s="194" t="s">
        <v>147</v>
      </c>
      <c r="D38" s="194"/>
      <c r="E38" s="26" t="s">
        <v>102</v>
      </c>
      <c r="F38" s="5">
        <v>1</v>
      </c>
      <c r="G38" s="5">
        <v>0</v>
      </c>
      <c r="H38" s="9" t="s">
        <v>302</v>
      </c>
      <c r="I38" s="5">
        <f>F38*AK38</f>
        <v>0</v>
      </c>
      <c r="J38" s="5">
        <f>F38*AL38</f>
        <v>0</v>
      </c>
      <c r="K38" s="5">
        <f>F38*G38</f>
        <v>0</v>
      </c>
      <c r="L38" s="56" t="s">
        <v>189</v>
      </c>
      <c r="V38" s="5">
        <f>IF(AM38="5",BF38,0)</f>
        <v>0</v>
      </c>
      <c r="X38" s="5">
        <f>IF(AM38="1",BD38,0)</f>
        <v>0</v>
      </c>
      <c r="Y38" s="5">
        <f>IF(AM38="1",BE38,0)</f>
        <v>0</v>
      </c>
      <c r="Z38" s="5">
        <f>IF(AM38="7",BD38,0)</f>
        <v>0</v>
      </c>
      <c r="AA38" s="5">
        <f>IF(AM38="7",BE38,0)</f>
        <v>0</v>
      </c>
      <c r="AB38" s="5">
        <f>IF(AM38="2",BD38,0)</f>
        <v>0</v>
      </c>
      <c r="AC38" s="5">
        <f>IF(AM38="2",BE38,0)</f>
        <v>0</v>
      </c>
      <c r="AD38" s="5">
        <f>IF(AM38="0",BF38,0)</f>
        <v>0</v>
      </c>
      <c r="AE38" s="4" t="s">
        <v>470</v>
      </c>
      <c r="AF38" s="5">
        <f>IF(AJ38=0,K38,0)</f>
        <v>0</v>
      </c>
      <c r="AG38" s="5">
        <f>IF(AJ38=12,K38,0)</f>
        <v>0</v>
      </c>
      <c r="AH38" s="5">
        <f>IF(AJ38=21,K38,0)</f>
        <v>0</v>
      </c>
      <c r="AJ38" s="5">
        <v>21</v>
      </c>
      <c r="AK38" s="5">
        <f>G38*0.0250368188512518</f>
        <v>0</v>
      </c>
      <c r="AL38" s="5">
        <f>G38*(1-0.0250368188512518)</f>
        <v>0</v>
      </c>
      <c r="AM38" s="9" t="s">
        <v>432</v>
      </c>
      <c r="AR38" s="5">
        <f>AS38+AT38</f>
        <v>0</v>
      </c>
      <c r="AS38" s="5">
        <f>F38*AK38</f>
        <v>0</v>
      </c>
      <c r="AT38" s="5">
        <f>F38*AL38</f>
        <v>0</v>
      </c>
      <c r="AU38" s="9" t="s">
        <v>44</v>
      </c>
      <c r="AV38" s="9" t="s">
        <v>96</v>
      </c>
      <c r="AW38" s="4" t="s">
        <v>223</v>
      </c>
      <c r="AY38" s="5">
        <f>AS38+AT38</f>
        <v>0</v>
      </c>
      <c r="AZ38" s="5">
        <f>G38/(100-BA38)*100</f>
        <v>0</v>
      </c>
      <c r="BA38" s="5">
        <v>0</v>
      </c>
      <c r="BB38" s="5" t="e">
        <f>#REF!</f>
        <v>#REF!</v>
      </c>
      <c r="BD38" s="5">
        <f>F38*AK38</f>
        <v>0</v>
      </c>
      <c r="BE38" s="5">
        <f>F38*AL38</f>
        <v>0</v>
      </c>
      <c r="BF38" s="5">
        <f>F38*G38</f>
        <v>0</v>
      </c>
      <c r="BG38" s="5"/>
      <c r="BH38" s="5">
        <v>766</v>
      </c>
      <c r="BS38" s="5" t="str">
        <f>H38</f>
        <v>21</v>
      </c>
    </row>
    <row r="39" spans="1:71" ht="15" customHeight="1">
      <c r="A39" s="35" t="s">
        <v>14</v>
      </c>
      <c r="B39" s="26" t="s">
        <v>249</v>
      </c>
      <c r="C39" s="194" t="s">
        <v>212</v>
      </c>
      <c r="D39" s="194"/>
      <c r="E39" s="26" t="s">
        <v>358</v>
      </c>
      <c r="F39" s="5">
        <v>1</v>
      </c>
      <c r="G39" s="5">
        <v>0</v>
      </c>
      <c r="H39" s="9" t="s">
        <v>302</v>
      </c>
      <c r="I39" s="5">
        <f>F39*AK39</f>
        <v>0</v>
      </c>
      <c r="J39" s="5">
        <f>F39*AL39</f>
        <v>0</v>
      </c>
      <c r="K39" s="5">
        <f>F39*G39</f>
        <v>0</v>
      </c>
      <c r="L39" s="56" t="s">
        <v>189</v>
      </c>
      <c r="V39" s="5">
        <f>IF(AM39="5",BF39,0)</f>
        <v>0</v>
      </c>
      <c r="X39" s="5">
        <f>IF(AM39="1",BD39,0)</f>
        <v>0</v>
      </c>
      <c r="Y39" s="5">
        <f>IF(AM39="1",BE39,0)</f>
        <v>0</v>
      </c>
      <c r="Z39" s="5">
        <f>IF(AM39="7",BD39,0)</f>
        <v>0</v>
      </c>
      <c r="AA39" s="5">
        <f>IF(AM39="7",BE39,0)</f>
        <v>0</v>
      </c>
      <c r="AB39" s="5">
        <f>IF(AM39="2",BD39,0)</f>
        <v>0</v>
      </c>
      <c r="AC39" s="5">
        <f>IF(AM39="2",BE39,0)</f>
        <v>0</v>
      </c>
      <c r="AD39" s="5">
        <f>IF(AM39="0",BF39,0)</f>
        <v>0</v>
      </c>
      <c r="AE39" s="4" t="s">
        <v>470</v>
      </c>
      <c r="AF39" s="5">
        <f>IF(AJ39=0,K39,0)</f>
        <v>0</v>
      </c>
      <c r="AG39" s="5">
        <f>IF(AJ39=12,K39,0)</f>
        <v>0</v>
      </c>
      <c r="AH39" s="5">
        <f>IF(AJ39=21,K39,0)</f>
        <v>0</v>
      </c>
      <c r="AJ39" s="5">
        <v>21</v>
      </c>
      <c r="AK39" s="5">
        <f>G39*1</f>
        <v>0</v>
      </c>
      <c r="AL39" s="5">
        <f>G39*(1-1)</f>
        <v>0</v>
      </c>
      <c r="AM39" s="9" t="s">
        <v>432</v>
      </c>
      <c r="AR39" s="5">
        <f>AS39+AT39</f>
        <v>0</v>
      </c>
      <c r="AS39" s="5">
        <f>F39*AK39</f>
        <v>0</v>
      </c>
      <c r="AT39" s="5">
        <f>F39*AL39</f>
        <v>0</v>
      </c>
      <c r="AU39" s="9" t="s">
        <v>44</v>
      </c>
      <c r="AV39" s="9" t="s">
        <v>96</v>
      </c>
      <c r="AW39" s="4" t="s">
        <v>223</v>
      </c>
      <c r="AY39" s="5">
        <f>AS39+AT39</f>
        <v>0</v>
      </c>
      <c r="AZ39" s="5">
        <f>G39/(100-BA39)*100</f>
        <v>0</v>
      </c>
      <c r="BA39" s="5">
        <v>0</v>
      </c>
      <c r="BB39" s="5" t="e">
        <f>#REF!</f>
        <v>#REF!</v>
      </c>
      <c r="BD39" s="5">
        <f>F39*AK39</f>
        <v>0</v>
      </c>
      <c r="BE39" s="5">
        <f>F39*AL39</f>
        <v>0</v>
      </c>
      <c r="BF39" s="5">
        <f>F39*G39</f>
        <v>0</v>
      </c>
      <c r="BG39" s="5"/>
      <c r="BH39" s="5">
        <v>766</v>
      </c>
      <c r="BS39" s="5" t="str">
        <f>H39</f>
        <v>21</v>
      </c>
    </row>
    <row r="40" spans="1:71" ht="15" customHeight="1">
      <c r="A40" s="35" t="s">
        <v>302</v>
      </c>
      <c r="B40" s="26" t="s">
        <v>92</v>
      </c>
      <c r="C40" s="194" t="s">
        <v>11</v>
      </c>
      <c r="D40" s="194"/>
      <c r="E40" s="26" t="s">
        <v>381</v>
      </c>
      <c r="F40" s="5">
        <v>537.1399</v>
      </c>
      <c r="G40" s="5">
        <v>0</v>
      </c>
      <c r="H40" s="9" t="s">
        <v>302</v>
      </c>
      <c r="I40" s="5">
        <f>F40*AK40</f>
        <v>0</v>
      </c>
      <c r="J40" s="5">
        <f>F40*AL40</f>
        <v>0</v>
      </c>
      <c r="K40" s="5">
        <f>F40*G40</f>
        <v>0</v>
      </c>
      <c r="L40" s="56" t="s">
        <v>189</v>
      </c>
      <c r="V40" s="5">
        <f>IF(AM40="5",BF40,0)</f>
        <v>0</v>
      </c>
      <c r="X40" s="5">
        <f>IF(AM40="1",BD40,0)</f>
        <v>0</v>
      </c>
      <c r="Y40" s="5">
        <f>IF(AM40="1",BE40,0)</f>
        <v>0</v>
      </c>
      <c r="Z40" s="5">
        <f>IF(AM40="7",BD40,0)</f>
        <v>0</v>
      </c>
      <c r="AA40" s="5">
        <f>IF(AM40="7",BE40,0)</f>
        <v>0</v>
      </c>
      <c r="AB40" s="5">
        <f>IF(AM40="2",BD40,0)</f>
        <v>0</v>
      </c>
      <c r="AC40" s="5">
        <f>IF(AM40="2",BE40,0)</f>
        <v>0</v>
      </c>
      <c r="AD40" s="5">
        <f>IF(AM40="0",BF40,0)</f>
        <v>0</v>
      </c>
      <c r="AE40" s="4" t="s">
        <v>470</v>
      </c>
      <c r="AF40" s="5">
        <f>IF(AJ40=0,K40,0)</f>
        <v>0</v>
      </c>
      <c r="AG40" s="5">
        <f>IF(AJ40=12,K40,0)</f>
        <v>0</v>
      </c>
      <c r="AH40" s="5">
        <f>IF(AJ40=21,K40,0)</f>
        <v>0</v>
      </c>
      <c r="AJ40" s="5">
        <v>21</v>
      </c>
      <c r="AK40" s="5">
        <f>G40*0</f>
        <v>0</v>
      </c>
      <c r="AL40" s="5">
        <f>G40*(1-0)</f>
        <v>0</v>
      </c>
      <c r="AM40" s="9" t="s">
        <v>218</v>
      </c>
      <c r="AR40" s="5">
        <f>AS40+AT40</f>
        <v>0</v>
      </c>
      <c r="AS40" s="5">
        <f>F40*AK40</f>
        <v>0</v>
      </c>
      <c r="AT40" s="5">
        <f>F40*AL40</f>
        <v>0</v>
      </c>
      <c r="AU40" s="9" t="s">
        <v>44</v>
      </c>
      <c r="AV40" s="9" t="s">
        <v>96</v>
      </c>
      <c r="AW40" s="4" t="s">
        <v>223</v>
      </c>
      <c r="AY40" s="5">
        <f>AS40+AT40</f>
        <v>0</v>
      </c>
      <c r="AZ40" s="5">
        <f>G40/(100-BA40)*100</f>
        <v>0</v>
      </c>
      <c r="BA40" s="5">
        <v>0</v>
      </c>
      <c r="BB40" s="5" t="e">
        <f>#REF!</f>
        <v>#REF!</v>
      </c>
      <c r="BD40" s="5">
        <f>F40*AK40</f>
        <v>0</v>
      </c>
      <c r="BE40" s="5">
        <f>F40*AL40</f>
        <v>0</v>
      </c>
      <c r="BF40" s="5">
        <f>F40*G40</f>
        <v>0</v>
      </c>
      <c r="BG40" s="5"/>
      <c r="BH40" s="5">
        <v>766</v>
      </c>
      <c r="BS40" s="5" t="str">
        <f>H40</f>
        <v>21</v>
      </c>
    </row>
    <row r="41" spans="1:43" ht="15" customHeight="1">
      <c r="A41" s="23" t="s">
        <v>293</v>
      </c>
      <c r="B41" s="61" t="s">
        <v>190</v>
      </c>
      <c r="C41" s="256" t="s">
        <v>131</v>
      </c>
      <c r="D41" s="256"/>
      <c r="E41" s="6" t="s">
        <v>401</v>
      </c>
      <c r="F41" s="6" t="s">
        <v>401</v>
      </c>
      <c r="G41" s="6" t="s">
        <v>401</v>
      </c>
      <c r="H41" s="6" t="s">
        <v>401</v>
      </c>
      <c r="I41" s="69">
        <f>SUM(I42:I44)</f>
        <v>0</v>
      </c>
      <c r="J41" s="69">
        <f>SUM(J42:J44)</f>
        <v>0</v>
      </c>
      <c r="K41" s="69">
        <f>SUM(K42:K44)</f>
        <v>0</v>
      </c>
      <c r="L41" s="55" t="s">
        <v>293</v>
      </c>
      <c r="AE41" s="4" t="s">
        <v>470</v>
      </c>
      <c r="AO41" s="69">
        <f>SUM(AF42:AF44)</f>
        <v>0</v>
      </c>
      <c r="AP41" s="69">
        <f>SUM(AG42:AG44)</f>
        <v>0</v>
      </c>
      <c r="AQ41" s="69">
        <f>SUM(AH42:AH44)</f>
        <v>0</v>
      </c>
    </row>
    <row r="42" spans="1:71" ht="15" customHeight="1">
      <c r="A42" s="35" t="s">
        <v>411</v>
      </c>
      <c r="B42" s="26" t="s">
        <v>261</v>
      </c>
      <c r="C42" s="194" t="s">
        <v>169</v>
      </c>
      <c r="D42" s="194"/>
      <c r="E42" s="26" t="s">
        <v>102</v>
      </c>
      <c r="F42" s="5">
        <v>1</v>
      </c>
      <c r="G42" s="5">
        <v>0</v>
      </c>
      <c r="H42" s="9" t="s">
        <v>302</v>
      </c>
      <c r="I42" s="5">
        <f>F42*AK42</f>
        <v>0</v>
      </c>
      <c r="J42" s="5">
        <f>F42*AL42</f>
        <v>0</v>
      </c>
      <c r="K42" s="5">
        <f>F42*G42</f>
        <v>0</v>
      </c>
      <c r="L42" s="56" t="s">
        <v>189</v>
      </c>
      <c r="V42" s="5">
        <f>IF(AM42="5",BF42,0)</f>
        <v>0</v>
      </c>
      <c r="X42" s="5">
        <f>IF(AM42="1",BD42,0)</f>
        <v>0</v>
      </c>
      <c r="Y42" s="5">
        <f>IF(AM42="1",BE42,0)</f>
        <v>0</v>
      </c>
      <c r="Z42" s="5">
        <f>IF(AM42="7",BD42,0)</f>
        <v>0</v>
      </c>
      <c r="AA42" s="5">
        <f>IF(AM42="7",BE42,0)</f>
        <v>0</v>
      </c>
      <c r="AB42" s="5">
        <f>IF(AM42="2",BD42,0)</f>
        <v>0</v>
      </c>
      <c r="AC42" s="5">
        <f>IF(AM42="2",BE42,0)</f>
        <v>0</v>
      </c>
      <c r="AD42" s="5">
        <f>IF(AM42="0",BF42,0)</f>
        <v>0</v>
      </c>
      <c r="AE42" s="4" t="s">
        <v>470</v>
      </c>
      <c r="AF42" s="5">
        <f>IF(AJ42=0,K42,0)</f>
        <v>0</v>
      </c>
      <c r="AG42" s="5">
        <f>IF(AJ42=12,K42,0)</f>
        <v>0</v>
      </c>
      <c r="AH42" s="5">
        <f>IF(AJ42=21,K42,0)</f>
        <v>0</v>
      </c>
      <c r="AJ42" s="5">
        <v>21</v>
      </c>
      <c r="AK42" s="5">
        <f>G42*0.101940229885057</f>
        <v>0</v>
      </c>
      <c r="AL42" s="5">
        <f>G42*(1-0.101940229885057)</f>
        <v>0</v>
      </c>
      <c r="AM42" s="9" t="s">
        <v>432</v>
      </c>
      <c r="AR42" s="5">
        <f>AS42+AT42</f>
        <v>0</v>
      </c>
      <c r="AS42" s="5">
        <f>F42*AK42</f>
        <v>0</v>
      </c>
      <c r="AT42" s="5">
        <f>F42*AL42</f>
        <v>0</v>
      </c>
      <c r="AU42" s="9" t="s">
        <v>118</v>
      </c>
      <c r="AV42" s="9" t="s">
        <v>96</v>
      </c>
      <c r="AW42" s="4" t="s">
        <v>223</v>
      </c>
      <c r="AY42" s="5">
        <f>AS42+AT42</f>
        <v>0</v>
      </c>
      <c r="AZ42" s="5">
        <f>G42/(100-BA42)*100</f>
        <v>0</v>
      </c>
      <c r="BA42" s="5">
        <v>0</v>
      </c>
      <c r="BB42" s="5" t="e">
        <f>#REF!</f>
        <v>#REF!</v>
      </c>
      <c r="BD42" s="5">
        <f>F42*AK42</f>
        <v>0</v>
      </c>
      <c r="BE42" s="5">
        <f>F42*AL42</f>
        <v>0</v>
      </c>
      <c r="BF42" s="5">
        <f>F42*G42</f>
        <v>0</v>
      </c>
      <c r="BG42" s="5"/>
      <c r="BH42" s="5">
        <v>767</v>
      </c>
      <c r="BS42" s="5" t="str">
        <f>H42</f>
        <v>21</v>
      </c>
    </row>
    <row r="43" spans="1:71" ht="15" customHeight="1">
      <c r="A43" s="35" t="s">
        <v>188</v>
      </c>
      <c r="B43" s="26" t="s">
        <v>349</v>
      </c>
      <c r="C43" s="194" t="s">
        <v>112</v>
      </c>
      <c r="D43" s="194"/>
      <c r="E43" s="26" t="s">
        <v>423</v>
      </c>
      <c r="F43" s="5">
        <v>0.8</v>
      </c>
      <c r="G43" s="5">
        <v>0</v>
      </c>
      <c r="H43" s="9" t="s">
        <v>302</v>
      </c>
      <c r="I43" s="5">
        <f>F43*AK43</f>
        <v>0</v>
      </c>
      <c r="J43" s="5">
        <f>F43*AL43</f>
        <v>0</v>
      </c>
      <c r="K43" s="5">
        <f>F43*G43</f>
        <v>0</v>
      </c>
      <c r="L43" s="56" t="s">
        <v>189</v>
      </c>
      <c r="V43" s="5">
        <f>IF(AM43="5",BF43,0)</f>
        <v>0</v>
      </c>
      <c r="X43" s="5">
        <f>IF(AM43="1",BD43,0)</f>
        <v>0</v>
      </c>
      <c r="Y43" s="5">
        <f>IF(AM43="1",BE43,0)</f>
        <v>0</v>
      </c>
      <c r="Z43" s="5">
        <f>IF(AM43="7",BD43,0)</f>
        <v>0</v>
      </c>
      <c r="AA43" s="5">
        <f>IF(AM43="7",BE43,0)</f>
        <v>0</v>
      </c>
      <c r="AB43" s="5">
        <f>IF(AM43="2",BD43,0)</f>
        <v>0</v>
      </c>
      <c r="AC43" s="5">
        <f>IF(AM43="2",BE43,0)</f>
        <v>0</v>
      </c>
      <c r="AD43" s="5">
        <f>IF(AM43="0",BF43,0)</f>
        <v>0</v>
      </c>
      <c r="AE43" s="4" t="s">
        <v>470</v>
      </c>
      <c r="AF43" s="5">
        <f>IF(AJ43=0,K43,0)</f>
        <v>0</v>
      </c>
      <c r="AG43" s="5">
        <f>IF(AJ43=12,K43,0)</f>
        <v>0</v>
      </c>
      <c r="AH43" s="5">
        <f>IF(AJ43=21,K43,0)</f>
        <v>0</v>
      </c>
      <c r="AJ43" s="5">
        <v>21</v>
      </c>
      <c r="AK43" s="5">
        <f>G43*1</f>
        <v>0</v>
      </c>
      <c r="AL43" s="5">
        <f>G43*(1-1)</f>
        <v>0</v>
      </c>
      <c r="AM43" s="9" t="s">
        <v>432</v>
      </c>
      <c r="AR43" s="5">
        <f>AS43+AT43</f>
        <v>0</v>
      </c>
      <c r="AS43" s="5">
        <f>F43*AK43</f>
        <v>0</v>
      </c>
      <c r="AT43" s="5">
        <f>F43*AL43</f>
        <v>0</v>
      </c>
      <c r="AU43" s="9" t="s">
        <v>118</v>
      </c>
      <c r="AV43" s="9" t="s">
        <v>96</v>
      </c>
      <c r="AW43" s="4" t="s">
        <v>223</v>
      </c>
      <c r="AY43" s="5">
        <f>AS43+AT43</f>
        <v>0</v>
      </c>
      <c r="AZ43" s="5">
        <f>G43/(100-BA43)*100</f>
        <v>0</v>
      </c>
      <c r="BA43" s="5">
        <v>0</v>
      </c>
      <c r="BB43" s="5" t="e">
        <f>#REF!</f>
        <v>#REF!</v>
      </c>
      <c r="BD43" s="5">
        <f>F43*AK43</f>
        <v>0</v>
      </c>
      <c r="BE43" s="5">
        <f>F43*AL43</f>
        <v>0</v>
      </c>
      <c r="BF43" s="5">
        <f>F43*G43</f>
        <v>0</v>
      </c>
      <c r="BG43" s="5"/>
      <c r="BH43" s="5">
        <v>767</v>
      </c>
      <c r="BS43" s="5" t="str">
        <f>H43</f>
        <v>21</v>
      </c>
    </row>
    <row r="44" spans="1:71" ht="15" customHeight="1">
      <c r="A44" s="35" t="s">
        <v>38</v>
      </c>
      <c r="B44" s="26" t="s">
        <v>236</v>
      </c>
      <c r="C44" s="194" t="s">
        <v>93</v>
      </c>
      <c r="D44" s="194"/>
      <c r="E44" s="26" t="s">
        <v>381</v>
      </c>
      <c r="F44" s="5">
        <v>103.11</v>
      </c>
      <c r="G44" s="5">
        <v>0</v>
      </c>
      <c r="H44" s="9" t="s">
        <v>302</v>
      </c>
      <c r="I44" s="5">
        <f>F44*AK44</f>
        <v>0</v>
      </c>
      <c r="J44" s="5">
        <f>F44*AL44</f>
        <v>0</v>
      </c>
      <c r="K44" s="5">
        <f>F44*G44</f>
        <v>0</v>
      </c>
      <c r="L44" s="56" t="s">
        <v>189</v>
      </c>
      <c r="V44" s="5">
        <f>IF(AM44="5",BF44,0)</f>
        <v>0</v>
      </c>
      <c r="X44" s="5">
        <f>IF(AM44="1",BD44,0)</f>
        <v>0</v>
      </c>
      <c r="Y44" s="5">
        <f>IF(AM44="1",BE44,0)</f>
        <v>0</v>
      </c>
      <c r="Z44" s="5">
        <f>IF(AM44="7",BD44,0)</f>
        <v>0</v>
      </c>
      <c r="AA44" s="5">
        <f>IF(AM44="7",BE44,0)</f>
        <v>0</v>
      </c>
      <c r="AB44" s="5">
        <f>IF(AM44="2",BD44,0)</f>
        <v>0</v>
      </c>
      <c r="AC44" s="5">
        <f>IF(AM44="2",BE44,0)</f>
        <v>0</v>
      </c>
      <c r="AD44" s="5">
        <f>IF(AM44="0",BF44,0)</f>
        <v>0</v>
      </c>
      <c r="AE44" s="4" t="s">
        <v>470</v>
      </c>
      <c r="AF44" s="5">
        <f>IF(AJ44=0,K44,0)</f>
        <v>0</v>
      </c>
      <c r="AG44" s="5">
        <f>IF(AJ44=12,K44,0)</f>
        <v>0</v>
      </c>
      <c r="AH44" s="5">
        <f>IF(AJ44=21,K44,0)</f>
        <v>0</v>
      </c>
      <c r="AJ44" s="5">
        <v>21</v>
      </c>
      <c r="AK44" s="5">
        <f>G44*0</f>
        <v>0</v>
      </c>
      <c r="AL44" s="5">
        <f>G44*(1-0)</f>
        <v>0</v>
      </c>
      <c r="AM44" s="9" t="s">
        <v>218</v>
      </c>
      <c r="AR44" s="5">
        <f>AS44+AT44</f>
        <v>0</v>
      </c>
      <c r="AS44" s="5">
        <f>F44*AK44</f>
        <v>0</v>
      </c>
      <c r="AT44" s="5">
        <f>F44*AL44</f>
        <v>0</v>
      </c>
      <c r="AU44" s="9" t="s">
        <v>118</v>
      </c>
      <c r="AV44" s="9" t="s">
        <v>96</v>
      </c>
      <c r="AW44" s="4" t="s">
        <v>223</v>
      </c>
      <c r="AY44" s="5">
        <f>AS44+AT44</f>
        <v>0</v>
      </c>
      <c r="AZ44" s="5">
        <f>G44/(100-BA44)*100</f>
        <v>0</v>
      </c>
      <c r="BA44" s="5">
        <v>0</v>
      </c>
      <c r="BB44" s="5" t="e">
        <f>#REF!</f>
        <v>#REF!</v>
      </c>
      <c r="BD44" s="5">
        <f>F44*AK44</f>
        <v>0</v>
      </c>
      <c r="BE44" s="5">
        <f>F44*AL44</f>
        <v>0</v>
      </c>
      <c r="BF44" s="5">
        <f>F44*G44</f>
        <v>0</v>
      </c>
      <c r="BG44" s="5"/>
      <c r="BH44" s="5">
        <v>767</v>
      </c>
      <c r="BS44" s="5" t="str">
        <f>H44</f>
        <v>21</v>
      </c>
    </row>
    <row r="45" spans="1:43" ht="15" customHeight="1">
      <c r="A45" s="23" t="s">
        <v>293</v>
      </c>
      <c r="B45" s="61" t="s">
        <v>340</v>
      </c>
      <c r="C45" s="256" t="s">
        <v>280</v>
      </c>
      <c r="D45" s="256"/>
      <c r="E45" s="6" t="s">
        <v>401</v>
      </c>
      <c r="F45" s="6" t="s">
        <v>401</v>
      </c>
      <c r="G45" s="6" t="s">
        <v>401</v>
      </c>
      <c r="H45" s="6" t="s">
        <v>401</v>
      </c>
      <c r="I45" s="69">
        <f>SUM(I46:I50)</f>
        <v>0</v>
      </c>
      <c r="J45" s="69">
        <f>SUM(J46:J50)</f>
        <v>0</v>
      </c>
      <c r="K45" s="69">
        <f>SUM(K46:K50)</f>
        <v>0</v>
      </c>
      <c r="L45" s="55" t="s">
        <v>293</v>
      </c>
      <c r="AE45" s="4" t="s">
        <v>470</v>
      </c>
      <c r="AO45" s="69">
        <f>SUM(AF46:AF50)</f>
        <v>0</v>
      </c>
      <c r="AP45" s="69">
        <f>SUM(AG46:AG50)</f>
        <v>0</v>
      </c>
      <c r="AQ45" s="69">
        <f>SUM(AH46:AH50)</f>
        <v>0</v>
      </c>
    </row>
    <row r="46" spans="1:71" ht="15" customHeight="1">
      <c r="A46" s="35" t="s">
        <v>101</v>
      </c>
      <c r="B46" s="26" t="s">
        <v>456</v>
      </c>
      <c r="C46" s="194" t="s">
        <v>144</v>
      </c>
      <c r="D46" s="194"/>
      <c r="E46" s="26" t="s">
        <v>423</v>
      </c>
      <c r="F46" s="5">
        <v>273.133</v>
      </c>
      <c r="G46" s="5">
        <v>0</v>
      </c>
      <c r="H46" s="9" t="s">
        <v>302</v>
      </c>
      <c r="I46" s="5">
        <f>F46*AK46</f>
        <v>0</v>
      </c>
      <c r="J46" s="5">
        <f>F46*AL46</f>
        <v>0</v>
      </c>
      <c r="K46" s="5">
        <f>F46*G46</f>
        <v>0</v>
      </c>
      <c r="L46" s="56" t="s">
        <v>189</v>
      </c>
      <c r="V46" s="5">
        <f>IF(AM46="5",BF46,0)</f>
        <v>0</v>
      </c>
      <c r="X46" s="5">
        <f>IF(AM46="1",BD46,0)</f>
        <v>0</v>
      </c>
      <c r="Y46" s="5">
        <f>IF(AM46="1",BE46,0)</f>
        <v>0</v>
      </c>
      <c r="Z46" s="5">
        <f>IF(AM46="7",BD46,0)</f>
        <v>0</v>
      </c>
      <c r="AA46" s="5">
        <f>IF(AM46="7",BE46,0)</f>
        <v>0</v>
      </c>
      <c r="AB46" s="5">
        <f>IF(AM46="2",BD46,0)</f>
        <v>0</v>
      </c>
      <c r="AC46" s="5">
        <f>IF(AM46="2",BE46,0)</f>
        <v>0</v>
      </c>
      <c r="AD46" s="5">
        <f>IF(AM46="0",BF46,0)</f>
        <v>0</v>
      </c>
      <c r="AE46" s="4" t="s">
        <v>470</v>
      </c>
      <c r="AF46" s="5">
        <f>IF(AJ46=0,K46,0)</f>
        <v>0</v>
      </c>
      <c r="AG46" s="5">
        <f>IF(AJ46=12,K46,0)</f>
        <v>0</v>
      </c>
      <c r="AH46" s="5">
        <f>IF(AJ46=21,K46,0)</f>
        <v>0</v>
      </c>
      <c r="AJ46" s="5">
        <v>21</v>
      </c>
      <c r="AK46" s="5">
        <f>G46*0</f>
        <v>0</v>
      </c>
      <c r="AL46" s="5">
        <f>G46*(1-0)</f>
        <v>0</v>
      </c>
      <c r="AM46" s="9" t="s">
        <v>432</v>
      </c>
      <c r="AR46" s="5">
        <f>AS46+AT46</f>
        <v>0</v>
      </c>
      <c r="AS46" s="5">
        <f>F46*AK46</f>
        <v>0</v>
      </c>
      <c r="AT46" s="5">
        <f>F46*AL46</f>
        <v>0</v>
      </c>
      <c r="AU46" s="9" t="s">
        <v>76</v>
      </c>
      <c r="AV46" s="9" t="s">
        <v>327</v>
      </c>
      <c r="AW46" s="4" t="s">
        <v>223</v>
      </c>
      <c r="AY46" s="5">
        <f>AS46+AT46</f>
        <v>0</v>
      </c>
      <c r="AZ46" s="5">
        <f>G46/(100-BA46)*100</f>
        <v>0</v>
      </c>
      <c r="BA46" s="5">
        <v>0</v>
      </c>
      <c r="BB46" s="5" t="e">
        <f>#REF!</f>
        <v>#REF!</v>
      </c>
      <c r="BD46" s="5">
        <f>F46*AK46</f>
        <v>0</v>
      </c>
      <c r="BE46" s="5">
        <f>F46*AL46</f>
        <v>0</v>
      </c>
      <c r="BF46" s="5">
        <f>F46*G46</f>
        <v>0</v>
      </c>
      <c r="BG46" s="5"/>
      <c r="BH46" s="5">
        <v>776</v>
      </c>
      <c r="BS46" s="5" t="str">
        <f>H46</f>
        <v>21</v>
      </c>
    </row>
    <row r="47" spans="1:71" ht="15" customHeight="1">
      <c r="A47" s="35" t="s">
        <v>51</v>
      </c>
      <c r="B47" s="26" t="s">
        <v>211</v>
      </c>
      <c r="C47" s="194" t="s">
        <v>386</v>
      </c>
      <c r="D47" s="194"/>
      <c r="E47" s="26" t="s">
        <v>423</v>
      </c>
      <c r="F47" s="5">
        <v>273.8</v>
      </c>
      <c r="G47" s="5">
        <v>0</v>
      </c>
      <c r="H47" s="9" t="s">
        <v>302</v>
      </c>
      <c r="I47" s="5">
        <f>F47*AK47</f>
        <v>0</v>
      </c>
      <c r="J47" s="5">
        <f>F47*AL47</f>
        <v>0</v>
      </c>
      <c r="K47" s="5">
        <f>F47*G47</f>
        <v>0</v>
      </c>
      <c r="L47" s="56" t="s">
        <v>189</v>
      </c>
      <c r="V47" s="5">
        <f>IF(AM47="5",BF47,0)</f>
        <v>0</v>
      </c>
      <c r="X47" s="5">
        <f>IF(AM47="1",BD47,0)</f>
        <v>0</v>
      </c>
      <c r="Y47" s="5">
        <f>IF(AM47="1",BE47,0)</f>
        <v>0</v>
      </c>
      <c r="Z47" s="5">
        <f>IF(AM47="7",BD47,0)</f>
        <v>0</v>
      </c>
      <c r="AA47" s="5">
        <f>IF(AM47="7",BE47,0)</f>
        <v>0</v>
      </c>
      <c r="AB47" s="5">
        <f>IF(AM47="2",BD47,0)</f>
        <v>0</v>
      </c>
      <c r="AC47" s="5">
        <f>IF(AM47="2",BE47,0)</f>
        <v>0</v>
      </c>
      <c r="AD47" s="5">
        <f>IF(AM47="0",BF47,0)</f>
        <v>0</v>
      </c>
      <c r="AE47" s="4" t="s">
        <v>470</v>
      </c>
      <c r="AF47" s="5">
        <f>IF(AJ47=0,K47,0)</f>
        <v>0</v>
      </c>
      <c r="AG47" s="5">
        <f>IF(AJ47=12,K47,0)</f>
        <v>0</v>
      </c>
      <c r="AH47" s="5">
        <f>IF(AJ47=21,K47,0)</f>
        <v>0</v>
      </c>
      <c r="AJ47" s="5">
        <v>21</v>
      </c>
      <c r="AK47" s="5">
        <f>G47*0.210599976553299</f>
        <v>0</v>
      </c>
      <c r="AL47" s="5">
        <f>G47*(1-0.210599976553299)</f>
        <v>0</v>
      </c>
      <c r="AM47" s="9" t="s">
        <v>432</v>
      </c>
      <c r="AR47" s="5">
        <f>AS47+AT47</f>
        <v>0</v>
      </c>
      <c r="AS47" s="5">
        <f>F47*AK47</f>
        <v>0</v>
      </c>
      <c r="AT47" s="5">
        <f>F47*AL47</f>
        <v>0</v>
      </c>
      <c r="AU47" s="9" t="s">
        <v>76</v>
      </c>
      <c r="AV47" s="9" t="s">
        <v>327</v>
      </c>
      <c r="AW47" s="4" t="s">
        <v>223</v>
      </c>
      <c r="AY47" s="5">
        <f>AS47+AT47</f>
        <v>0</v>
      </c>
      <c r="AZ47" s="5">
        <f>G47/(100-BA47)*100</f>
        <v>0</v>
      </c>
      <c r="BA47" s="5">
        <v>0</v>
      </c>
      <c r="BB47" s="5" t="e">
        <f>#REF!</f>
        <v>#REF!</v>
      </c>
      <c r="BD47" s="5">
        <f>F47*AK47</f>
        <v>0</v>
      </c>
      <c r="BE47" s="5">
        <f>F47*AL47</f>
        <v>0</v>
      </c>
      <c r="BF47" s="5">
        <f>F47*G47</f>
        <v>0</v>
      </c>
      <c r="BG47" s="5"/>
      <c r="BH47" s="5">
        <v>776</v>
      </c>
      <c r="BS47" s="5" t="str">
        <f>H47</f>
        <v>21</v>
      </c>
    </row>
    <row r="48" spans="1:71" ht="15" customHeight="1">
      <c r="A48" s="35" t="s">
        <v>420</v>
      </c>
      <c r="B48" s="26" t="s">
        <v>61</v>
      </c>
      <c r="C48" s="194" t="s">
        <v>345</v>
      </c>
      <c r="D48" s="194"/>
      <c r="E48" s="26" t="s">
        <v>423</v>
      </c>
      <c r="F48" s="5">
        <v>276.8118</v>
      </c>
      <c r="G48" s="5">
        <v>0</v>
      </c>
      <c r="H48" s="9" t="s">
        <v>302</v>
      </c>
      <c r="I48" s="5">
        <f>F48*AK48</f>
        <v>0</v>
      </c>
      <c r="J48" s="5">
        <f>F48*AL48</f>
        <v>0</v>
      </c>
      <c r="K48" s="5">
        <f>F48*G48</f>
        <v>0</v>
      </c>
      <c r="L48" s="56" t="s">
        <v>189</v>
      </c>
      <c r="V48" s="5">
        <f>IF(AM48="5",BF48,0)</f>
        <v>0</v>
      </c>
      <c r="X48" s="5">
        <f>IF(AM48="1",BD48,0)</f>
        <v>0</v>
      </c>
      <c r="Y48" s="5">
        <f>IF(AM48="1",BE48,0)</f>
        <v>0</v>
      </c>
      <c r="Z48" s="5">
        <f>IF(AM48="7",BD48,0)</f>
        <v>0</v>
      </c>
      <c r="AA48" s="5">
        <f>IF(AM48="7",BE48,0)</f>
        <v>0</v>
      </c>
      <c r="AB48" s="5">
        <f>IF(AM48="2",BD48,0)</f>
        <v>0</v>
      </c>
      <c r="AC48" s="5">
        <f>IF(AM48="2",BE48,0)</f>
        <v>0</v>
      </c>
      <c r="AD48" s="5">
        <f>IF(AM48="0",BF48,0)</f>
        <v>0</v>
      </c>
      <c r="AE48" s="4" t="s">
        <v>470</v>
      </c>
      <c r="AF48" s="5">
        <f>IF(AJ48=0,K48,0)</f>
        <v>0</v>
      </c>
      <c r="AG48" s="5">
        <f>IF(AJ48=12,K48,0)</f>
        <v>0</v>
      </c>
      <c r="AH48" s="5">
        <f>IF(AJ48=21,K48,0)</f>
        <v>0</v>
      </c>
      <c r="AJ48" s="5">
        <v>21</v>
      </c>
      <c r="AK48" s="5">
        <f>G48*1</f>
        <v>0</v>
      </c>
      <c r="AL48" s="5">
        <f>G48*(1-1)</f>
        <v>0</v>
      </c>
      <c r="AM48" s="9" t="s">
        <v>432</v>
      </c>
      <c r="AR48" s="5">
        <f>AS48+AT48</f>
        <v>0</v>
      </c>
      <c r="AS48" s="5">
        <f>F48*AK48</f>
        <v>0</v>
      </c>
      <c r="AT48" s="5">
        <f>F48*AL48</f>
        <v>0</v>
      </c>
      <c r="AU48" s="9" t="s">
        <v>76</v>
      </c>
      <c r="AV48" s="9" t="s">
        <v>327</v>
      </c>
      <c r="AW48" s="4" t="s">
        <v>223</v>
      </c>
      <c r="AY48" s="5">
        <f>AS48+AT48</f>
        <v>0</v>
      </c>
      <c r="AZ48" s="5">
        <f>G48/(100-BA48)*100</f>
        <v>0</v>
      </c>
      <c r="BA48" s="5">
        <v>0</v>
      </c>
      <c r="BB48" s="5" t="e">
        <f>#REF!</f>
        <v>#REF!</v>
      </c>
      <c r="BD48" s="5">
        <f>F48*AK48</f>
        <v>0</v>
      </c>
      <c r="BE48" s="5">
        <f>F48*AL48</f>
        <v>0</v>
      </c>
      <c r="BF48" s="5">
        <f>F48*G48</f>
        <v>0</v>
      </c>
      <c r="BG48" s="5"/>
      <c r="BH48" s="5">
        <v>776</v>
      </c>
      <c r="BS48" s="5" t="str">
        <f>H48</f>
        <v>21</v>
      </c>
    </row>
    <row r="49" spans="1:71" ht="15" customHeight="1">
      <c r="A49" s="35" t="s">
        <v>469</v>
      </c>
      <c r="B49" s="26" t="s">
        <v>171</v>
      </c>
      <c r="C49" s="194" t="s">
        <v>455</v>
      </c>
      <c r="D49" s="194"/>
      <c r="E49" s="26" t="s">
        <v>358</v>
      </c>
      <c r="F49" s="5">
        <v>144.56</v>
      </c>
      <c r="G49" s="5">
        <v>0</v>
      </c>
      <c r="H49" s="9" t="s">
        <v>302</v>
      </c>
      <c r="I49" s="5">
        <f>F49*AK49</f>
        <v>0</v>
      </c>
      <c r="J49" s="5">
        <f>F49*AL49</f>
        <v>0</v>
      </c>
      <c r="K49" s="5">
        <f>F49*G49</f>
        <v>0</v>
      </c>
      <c r="L49" s="56" t="s">
        <v>189</v>
      </c>
      <c r="V49" s="5">
        <f>IF(AM49="5",BF49,0)</f>
        <v>0</v>
      </c>
      <c r="X49" s="5">
        <f>IF(AM49="1",BD49,0)</f>
        <v>0</v>
      </c>
      <c r="Y49" s="5">
        <f>IF(AM49="1",BE49,0)</f>
        <v>0</v>
      </c>
      <c r="Z49" s="5">
        <f>IF(AM49="7",BD49,0)</f>
        <v>0</v>
      </c>
      <c r="AA49" s="5">
        <f>IF(AM49="7",BE49,0)</f>
        <v>0</v>
      </c>
      <c r="AB49" s="5">
        <f>IF(AM49="2",BD49,0)</f>
        <v>0</v>
      </c>
      <c r="AC49" s="5">
        <f>IF(AM49="2",BE49,0)</f>
        <v>0</v>
      </c>
      <c r="AD49" s="5">
        <f>IF(AM49="0",BF49,0)</f>
        <v>0</v>
      </c>
      <c r="AE49" s="4" t="s">
        <v>470</v>
      </c>
      <c r="AF49" s="5">
        <f>IF(AJ49=0,K49,0)</f>
        <v>0</v>
      </c>
      <c r="AG49" s="5">
        <f>IF(AJ49=12,K49,0)</f>
        <v>0</v>
      </c>
      <c r="AH49" s="5">
        <f>IF(AJ49=21,K49,0)</f>
        <v>0</v>
      </c>
      <c r="AJ49" s="5">
        <v>21</v>
      </c>
      <c r="AK49" s="5">
        <f>G49*0.35575</f>
        <v>0</v>
      </c>
      <c r="AL49" s="5">
        <f>G49*(1-0.35575)</f>
        <v>0</v>
      </c>
      <c r="AM49" s="9" t="s">
        <v>432</v>
      </c>
      <c r="AR49" s="5">
        <f>AS49+AT49</f>
        <v>0</v>
      </c>
      <c r="AS49" s="5">
        <f>F49*AK49</f>
        <v>0</v>
      </c>
      <c r="AT49" s="5">
        <f>F49*AL49</f>
        <v>0</v>
      </c>
      <c r="AU49" s="9" t="s">
        <v>76</v>
      </c>
      <c r="AV49" s="9" t="s">
        <v>327</v>
      </c>
      <c r="AW49" s="4" t="s">
        <v>223</v>
      </c>
      <c r="AY49" s="5">
        <f>AS49+AT49</f>
        <v>0</v>
      </c>
      <c r="AZ49" s="5">
        <f>G49/(100-BA49)*100</f>
        <v>0</v>
      </c>
      <c r="BA49" s="5">
        <v>0</v>
      </c>
      <c r="BB49" s="5" t="e">
        <f>#REF!</f>
        <v>#REF!</v>
      </c>
      <c r="BD49" s="5">
        <f>F49*AK49</f>
        <v>0</v>
      </c>
      <c r="BE49" s="5">
        <f>F49*AL49</f>
        <v>0</v>
      </c>
      <c r="BF49" s="5">
        <f>F49*G49</f>
        <v>0</v>
      </c>
      <c r="BG49" s="5"/>
      <c r="BH49" s="5">
        <v>776</v>
      </c>
      <c r="BS49" s="5" t="str">
        <f>H49</f>
        <v>21</v>
      </c>
    </row>
    <row r="50" spans="1:71" ht="15" customHeight="1">
      <c r="A50" s="35" t="s">
        <v>26</v>
      </c>
      <c r="B50" s="26" t="s">
        <v>460</v>
      </c>
      <c r="C50" s="194" t="s">
        <v>213</v>
      </c>
      <c r="D50" s="194"/>
      <c r="E50" s="26" t="s">
        <v>381</v>
      </c>
      <c r="F50" s="5">
        <v>6058.5005</v>
      </c>
      <c r="G50" s="5">
        <v>0</v>
      </c>
      <c r="H50" s="9" t="s">
        <v>302</v>
      </c>
      <c r="I50" s="5">
        <f>F50*AK50</f>
        <v>0</v>
      </c>
      <c r="J50" s="5">
        <f>F50*AL50</f>
        <v>0</v>
      </c>
      <c r="K50" s="5">
        <f>F50*G50</f>
        <v>0</v>
      </c>
      <c r="L50" s="56" t="s">
        <v>189</v>
      </c>
      <c r="V50" s="5">
        <f>IF(AM50="5",BF50,0)</f>
        <v>0</v>
      </c>
      <c r="X50" s="5">
        <f>IF(AM50="1",BD50,0)</f>
        <v>0</v>
      </c>
      <c r="Y50" s="5">
        <f>IF(AM50="1",BE50,0)</f>
        <v>0</v>
      </c>
      <c r="Z50" s="5">
        <f>IF(AM50="7",BD50,0)</f>
        <v>0</v>
      </c>
      <c r="AA50" s="5">
        <f>IF(AM50="7",BE50,0)</f>
        <v>0</v>
      </c>
      <c r="AB50" s="5">
        <f>IF(AM50="2",BD50,0)</f>
        <v>0</v>
      </c>
      <c r="AC50" s="5">
        <f>IF(AM50="2",BE50,0)</f>
        <v>0</v>
      </c>
      <c r="AD50" s="5">
        <f>IF(AM50="0",BF50,0)</f>
        <v>0</v>
      </c>
      <c r="AE50" s="4" t="s">
        <v>470</v>
      </c>
      <c r="AF50" s="5">
        <f>IF(AJ50=0,K50,0)</f>
        <v>0</v>
      </c>
      <c r="AG50" s="5">
        <f>IF(AJ50=12,K50,0)</f>
        <v>0</v>
      </c>
      <c r="AH50" s="5">
        <f>IF(AJ50=21,K50,0)</f>
        <v>0</v>
      </c>
      <c r="AJ50" s="5">
        <v>21</v>
      </c>
      <c r="AK50" s="5">
        <f>G50*0</f>
        <v>0</v>
      </c>
      <c r="AL50" s="5">
        <f>G50*(1-0)</f>
        <v>0</v>
      </c>
      <c r="AM50" s="9" t="s">
        <v>218</v>
      </c>
      <c r="AR50" s="5">
        <f>AS50+AT50</f>
        <v>0</v>
      </c>
      <c r="AS50" s="5">
        <f>F50*AK50</f>
        <v>0</v>
      </c>
      <c r="AT50" s="5">
        <f>F50*AL50</f>
        <v>0</v>
      </c>
      <c r="AU50" s="9" t="s">
        <v>76</v>
      </c>
      <c r="AV50" s="9" t="s">
        <v>327</v>
      </c>
      <c r="AW50" s="4" t="s">
        <v>223</v>
      </c>
      <c r="AY50" s="5">
        <f>AS50+AT50</f>
        <v>0</v>
      </c>
      <c r="AZ50" s="5">
        <f>G50/(100-BA50)*100</f>
        <v>0</v>
      </c>
      <c r="BA50" s="5">
        <v>0</v>
      </c>
      <c r="BB50" s="5" t="e">
        <f>#REF!</f>
        <v>#REF!</v>
      </c>
      <c r="BD50" s="5">
        <f>F50*AK50</f>
        <v>0</v>
      </c>
      <c r="BE50" s="5">
        <f>F50*AL50</f>
        <v>0</v>
      </c>
      <c r="BF50" s="5">
        <f>F50*G50</f>
        <v>0</v>
      </c>
      <c r="BG50" s="5"/>
      <c r="BH50" s="5">
        <v>776</v>
      </c>
      <c r="BS50" s="5" t="str">
        <f>H50</f>
        <v>21</v>
      </c>
    </row>
    <row r="51" spans="1:43" ht="15" customHeight="1">
      <c r="A51" s="23" t="s">
        <v>293</v>
      </c>
      <c r="B51" s="61" t="s">
        <v>235</v>
      </c>
      <c r="C51" s="256" t="s">
        <v>344</v>
      </c>
      <c r="D51" s="256"/>
      <c r="E51" s="6" t="s">
        <v>401</v>
      </c>
      <c r="F51" s="6" t="s">
        <v>401</v>
      </c>
      <c r="G51" s="6" t="s">
        <v>401</v>
      </c>
      <c r="H51" s="6" t="s">
        <v>401</v>
      </c>
      <c r="I51" s="69">
        <f>SUM(I52:I58)</f>
        <v>0</v>
      </c>
      <c r="J51" s="69">
        <f>SUM(J52:J58)</f>
        <v>0</v>
      </c>
      <c r="K51" s="69">
        <f>SUM(K52:K58)</f>
        <v>0</v>
      </c>
      <c r="L51" s="55" t="s">
        <v>293</v>
      </c>
      <c r="AE51" s="4" t="s">
        <v>470</v>
      </c>
      <c r="AO51" s="69">
        <f>SUM(AF52:AF58)</f>
        <v>0</v>
      </c>
      <c r="AP51" s="69">
        <f>SUM(AG52:AG58)</f>
        <v>0</v>
      </c>
      <c r="AQ51" s="69">
        <f>SUM(AH52:AH58)</f>
        <v>0</v>
      </c>
    </row>
    <row r="52" spans="1:71" ht="15" customHeight="1">
      <c r="A52" s="35" t="s">
        <v>273</v>
      </c>
      <c r="B52" s="26" t="s">
        <v>297</v>
      </c>
      <c r="C52" s="194" t="s">
        <v>220</v>
      </c>
      <c r="D52" s="194"/>
      <c r="E52" s="26" t="s">
        <v>423</v>
      </c>
      <c r="F52" s="5">
        <v>38.41517</v>
      </c>
      <c r="G52" s="5">
        <v>0</v>
      </c>
      <c r="H52" s="9" t="s">
        <v>302</v>
      </c>
      <c r="I52" s="5">
        <f>F52*AK52</f>
        <v>0</v>
      </c>
      <c r="J52" s="5">
        <f>F52*AL52</f>
        <v>0</v>
      </c>
      <c r="K52" s="5">
        <f aca="true" t="shared" si="0" ref="K52:K58">F52*G52</f>
        <v>0</v>
      </c>
      <c r="L52" s="56" t="s">
        <v>189</v>
      </c>
      <c r="V52" s="5">
        <f aca="true" t="shared" si="1" ref="V52:V58">IF(AM52="5",BF52,0)</f>
        <v>0</v>
      </c>
      <c r="X52" s="5">
        <f aca="true" t="shared" si="2" ref="X52:X58">IF(AM52="1",BD52,0)</f>
        <v>0</v>
      </c>
      <c r="Y52" s="5">
        <f aca="true" t="shared" si="3" ref="Y52:Y58">IF(AM52="1",BE52,0)</f>
        <v>0</v>
      </c>
      <c r="Z52" s="5">
        <f aca="true" t="shared" si="4" ref="Z52:Z58">IF(AM52="7",BD52,0)</f>
        <v>0</v>
      </c>
      <c r="AA52" s="5">
        <f aca="true" t="shared" si="5" ref="AA52:AA58">IF(AM52="7",BE52,0)</f>
        <v>0</v>
      </c>
      <c r="AB52" s="5">
        <f aca="true" t="shared" si="6" ref="AB52:AB58">IF(AM52="2",BD52,0)</f>
        <v>0</v>
      </c>
      <c r="AC52" s="5">
        <f aca="true" t="shared" si="7" ref="AC52:AC58">IF(AM52="2",BE52,0)</f>
        <v>0</v>
      </c>
      <c r="AD52" s="5">
        <f aca="true" t="shared" si="8" ref="AD52:AD58">IF(AM52="0",BF52,0)</f>
        <v>0</v>
      </c>
      <c r="AE52" s="4" t="s">
        <v>470</v>
      </c>
      <c r="AF52" s="5">
        <f>IF(AJ52=0,K52,0)</f>
        <v>0</v>
      </c>
      <c r="AG52" s="5">
        <f>IF(AJ52=12,K52,0)</f>
        <v>0</v>
      </c>
      <c r="AH52" s="5">
        <f>IF(AJ52=21,K52,0)</f>
        <v>0</v>
      </c>
      <c r="AJ52" s="5">
        <v>21</v>
      </c>
      <c r="AK52" s="5">
        <f>G52*0.0406162929664144</f>
        <v>0</v>
      </c>
      <c r="AL52" s="5">
        <f>G52*(1-0.0406162929664144)</f>
        <v>0</v>
      </c>
      <c r="AM52" s="9" t="s">
        <v>432</v>
      </c>
      <c r="AR52" s="5">
        <f aca="true" t="shared" si="9" ref="AR52:AR58">AS52+AT52</f>
        <v>0</v>
      </c>
      <c r="AS52" s="5">
        <f>F52*AK52</f>
        <v>0</v>
      </c>
      <c r="AT52" s="5">
        <f>F52*AL52</f>
        <v>0</v>
      </c>
      <c r="AU52" s="9" t="s">
        <v>94</v>
      </c>
      <c r="AV52" s="9" t="s">
        <v>241</v>
      </c>
      <c r="AW52" s="4" t="s">
        <v>223</v>
      </c>
      <c r="AY52" s="5">
        <f aca="true" t="shared" si="10" ref="AY52:AY58">AS52+AT52</f>
        <v>0</v>
      </c>
      <c r="AZ52" s="5">
        <f>G52/(100-BA52)*100</f>
        <v>0</v>
      </c>
      <c r="BA52" s="5">
        <v>0</v>
      </c>
      <c r="BB52" s="5" t="e">
        <f>#REF!</f>
        <v>#REF!</v>
      </c>
      <c r="BD52" s="5">
        <f>F52*AK52</f>
        <v>0</v>
      </c>
      <c r="BE52" s="5">
        <f>F52*AL52</f>
        <v>0</v>
      </c>
      <c r="BF52" s="5">
        <f aca="true" t="shared" si="11" ref="BF52:BF58">F52*G52</f>
        <v>0</v>
      </c>
      <c r="BG52" s="5"/>
      <c r="BH52" s="5">
        <v>783</v>
      </c>
      <c r="BS52" s="5" t="str">
        <f aca="true" t="shared" si="12" ref="BS52:BS58">H52</f>
        <v>21</v>
      </c>
    </row>
    <row r="53" spans="1:71" ht="15" customHeight="1">
      <c r="A53" s="35" t="s">
        <v>243</v>
      </c>
      <c r="B53" s="26" t="s">
        <v>289</v>
      </c>
      <c r="C53" s="194" t="s">
        <v>114</v>
      </c>
      <c r="D53" s="194"/>
      <c r="E53" s="26" t="s">
        <v>423</v>
      </c>
      <c r="F53" s="5">
        <v>38.41517</v>
      </c>
      <c r="G53" s="5">
        <v>0</v>
      </c>
      <c r="H53" s="9" t="s">
        <v>302</v>
      </c>
      <c r="I53" s="5">
        <f>F53*AK53</f>
        <v>0</v>
      </c>
      <c r="J53" s="5">
        <f>F53*AL53</f>
        <v>0</v>
      </c>
      <c r="K53" s="5">
        <f t="shared" si="0"/>
        <v>0</v>
      </c>
      <c r="L53" s="56" t="s">
        <v>189</v>
      </c>
      <c r="V53" s="5">
        <f t="shared" si="1"/>
        <v>0</v>
      </c>
      <c r="X53" s="5">
        <f t="shared" si="2"/>
        <v>0</v>
      </c>
      <c r="Y53" s="5">
        <f t="shared" si="3"/>
        <v>0</v>
      </c>
      <c r="Z53" s="5">
        <f t="shared" si="4"/>
        <v>0</v>
      </c>
      <c r="AA53" s="5">
        <f t="shared" si="5"/>
        <v>0</v>
      </c>
      <c r="AB53" s="5">
        <f t="shared" si="6"/>
        <v>0</v>
      </c>
      <c r="AC53" s="5">
        <f t="shared" si="7"/>
        <v>0</v>
      </c>
      <c r="AD53" s="5">
        <f t="shared" si="8"/>
        <v>0</v>
      </c>
      <c r="AE53" s="4" t="s">
        <v>470</v>
      </c>
      <c r="AF53" s="5">
        <f>IF(AJ53=0,K53,0)</f>
        <v>0</v>
      </c>
      <c r="AG53" s="5">
        <f>IF(AJ53=12,K53,0)</f>
        <v>0</v>
      </c>
      <c r="AH53" s="5">
        <f>IF(AJ53=21,K53,0)</f>
        <v>0</v>
      </c>
      <c r="AJ53" s="5">
        <v>21</v>
      </c>
      <c r="AK53" s="5">
        <f>G53*0.103077097768943</f>
        <v>0</v>
      </c>
      <c r="AL53" s="5">
        <f>G53*(1-0.103077097768943)</f>
        <v>0</v>
      </c>
      <c r="AM53" s="9" t="s">
        <v>432</v>
      </c>
      <c r="AR53" s="5">
        <f t="shared" si="9"/>
        <v>0</v>
      </c>
      <c r="AS53" s="5">
        <f>F53*AK53</f>
        <v>0</v>
      </c>
      <c r="AT53" s="5">
        <f>F53*AL53</f>
        <v>0</v>
      </c>
      <c r="AU53" s="9" t="s">
        <v>94</v>
      </c>
      <c r="AV53" s="9" t="s">
        <v>241</v>
      </c>
      <c r="AW53" s="4" t="s">
        <v>223</v>
      </c>
      <c r="AY53" s="5">
        <f t="shared" si="10"/>
        <v>0</v>
      </c>
      <c r="AZ53" s="5">
        <f>G53/(100-BA53)*100</f>
        <v>0</v>
      </c>
      <c r="BA53" s="5">
        <v>0</v>
      </c>
      <c r="BB53" s="5" t="e">
        <f>#REF!</f>
        <v>#REF!</v>
      </c>
      <c r="BD53" s="5">
        <f>F53*AK53</f>
        <v>0</v>
      </c>
      <c r="BE53" s="5">
        <f>F53*AL53</f>
        <v>0</v>
      </c>
      <c r="BF53" s="5">
        <f t="shared" si="11"/>
        <v>0</v>
      </c>
      <c r="BG53" s="5"/>
      <c r="BH53" s="5">
        <v>783</v>
      </c>
      <c r="BS53" s="5" t="str">
        <f t="shared" si="12"/>
        <v>21</v>
      </c>
    </row>
    <row r="54" spans="1:71" ht="15" customHeight="1">
      <c r="A54" s="35" t="s">
        <v>362</v>
      </c>
      <c r="B54" s="26" t="s">
        <v>201</v>
      </c>
      <c r="C54" s="194" t="s">
        <v>484</v>
      </c>
      <c r="D54" s="194"/>
      <c r="E54" s="26" t="s">
        <v>423</v>
      </c>
      <c r="F54" s="5">
        <v>38.41517</v>
      </c>
      <c r="G54" s="5">
        <v>0</v>
      </c>
      <c r="H54" s="9" t="s">
        <v>302</v>
      </c>
      <c r="I54" s="5">
        <f>F54*AK54</f>
        <v>0</v>
      </c>
      <c r="J54" s="5">
        <f>F54*AL54</f>
        <v>0</v>
      </c>
      <c r="K54" s="5">
        <f t="shared" si="0"/>
        <v>0</v>
      </c>
      <c r="L54" s="56" t="s">
        <v>189</v>
      </c>
      <c r="V54" s="5">
        <f t="shared" si="1"/>
        <v>0</v>
      </c>
      <c r="X54" s="5">
        <f t="shared" si="2"/>
        <v>0</v>
      </c>
      <c r="Y54" s="5">
        <f t="shared" si="3"/>
        <v>0</v>
      </c>
      <c r="Z54" s="5">
        <f t="shared" si="4"/>
        <v>0</v>
      </c>
      <c r="AA54" s="5">
        <f t="shared" si="5"/>
        <v>0</v>
      </c>
      <c r="AB54" s="5">
        <f t="shared" si="6"/>
        <v>0</v>
      </c>
      <c r="AC54" s="5">
        <f t="shared" si="7"/>
        <v>0</v>
      </c>
      <c r="AD54" s="5">
        <f t="shared" si="8"/>
        <v>0</v>
      </c>
      <c r="AE54" s="4" t="s">
        <v>470</v>
      </c>
      <c r="AF54" s="5">
        <f>IF(AJ54=0,K54,0)</f>
        <v>0</v>
      </c>
      <c r="AG54" s="5">
        <f>IF(AJ54=12,K54,0)</f>
        <v>0</v>
      </c>
      <c r="AH54" s="5">
        <f>IF(AJ54=21,K54,0)</f>
        <v>0</v>
      </c>
      <c r="AJ54" s="5">
        <v>21</v>
      </c>
      <c r="AK54" s="5">
        <f>G54*0.424730267587133</f>
        <v>0</v>
      </c>
      <c r="AL54" s="5">
        <f>G54*(1-0.424730267587133)</f>
        <v>0</v>
      </c>
      <c r="AM54" s="9" t="s">
        <v>432</v>
      </c>
      <c r="AR54" s="5">
        <f t="shared" si="9"/>
        <v>0</v>
      </c>
      <c r="AS54" s="5">
        <f>F54*AK54</f>
        <v>0</v>
      </c>
      <c r="AT54" s="5">
        <f>F54*AL54</f>
        <v>0</v>
      </c>
      <c r="AU54" s="9" t="s">
        <v>94</v>
      </c>
      <c r="AV54" s="9" t="s">
        <v>241</v>
      </c>
      <c r="AW54" s="4" t="s">
        <v>223</v>
      </c>
      <c r="AY54" s="5">
        <f t="shared" si="10"/>
        <v>0</v>
      </c>
      <c r="AZ54" s="5">
        <f>G54/(100-BA54)*100</f>
        <v>0</v>
      </c>
      <c r="BA54" s="5">
        <v>0</v>
      </c>
      <c r="BB54" s="5" t="e">
        <f>#REF!</f>
        <v>#REF!</v>
      </c>
      <c r="BD54" s="5">
        <f>F54*AK54</f>
        <v>0</v>
      </c>
      <c r="BE54" s="5">
        <f>F54*AL54</f>
        <v>0</v>
      </c>
      <c r="BF54" s="5">
        <f t="shared" si="11"/>
        <v>0</v>
      </c>
      <c r="BG54" s="5"/>
      <c r="BH54" s="5">
        <v>783</v>
      </c>
      <c r="BS54" s="5" t="str">
        <f t="shared" si="12"/>
        <v>21</v>
      </c>
    </row>
    <row r="55" spans="1:71" ht="15" customHeight="1">
      <c r="A55" s="35" t="s">
        <v>87</v>
      </c>
      <c r="B55" s="26" t="s">
        <v>121</v>
      </c>
      <c r="C55" s="194" t="s">
        <v>152</v>
      </c>
      <c r="D55" s="194"/>
      <c r="E55" s="26" t="s">
        <v>423</v>
      </c>
      <c r="F55" s="5">
        <v>0.2775</v>
      </c>
      <c r="G55" s="5">
        <v>0</v>
      </c>
      <c r="H55" s="9" t="s">
        <v>302</v>
      </c>
      <c r="I55" s="5">
        <f>F55*AK55</f>
        <v>0</v>
      </c>
      <c r="J55" s="5">
        <f>F55*AL55</f>
        <v>0</v>
      </c>
      <c r="K55" s="5">
        <f t="shared" si="0"/>
        <v>0</v>
      </c>
      <c r="L55" s="56" t="s">
        <v>189</v>
      </c>
      <c r="V55" s="5">
        <f t="shared" si="1"/>
        <v>0</v>
      </c>
      <c r="X55" s="5">
        <f t="shared" si="2"/>
        <v>0</v>
      </c>
      <c r="Y55" s="5">
        <f t="shared" si="3"/>
        <v>0</v>
      </c>
      <c r="Z55" s="5">
        <f t="shared" si="4"/>
        <v>0</v>
      </c>
      <c r="AA55" s="5">
        <f t="shared" si="5"/>
        <v>0</v>
      </c>
      <c r="AB55" s="5">
        <f t="shared" si="6"/>
        <v>0</v>
      </c>
      <c r="AC55" s="5">
        <f t="shared" si="7"/>
        <v>0</v>
      </c>
      <c r="AD55" s="5">
        <f t="shared" si="8"/>
        <v>0</v>
      </c>
      <c r="AE55" s="4" t="s">
        <v>470</v>
      </c>
      <c r="AF55" s="5">
        <f>IF(AJ55=0,K55,0)</f>
        <v>0</v>
      </c>
      <c r="AG55" s="5">
        <f>IF(AJ55=12,K55,0)</f>
        <v>0</v>
      </c>
      <c r="AH55" s="5">
        <f>IF(AJ55=21,K55,0)</f>
        <v>0</v>
      </c>
      <c r="AJ55" s="5">
        <v>21</v>
      </c>
      <c r="AK55" s="5">
        <f>G55*0.0259708916728077</f>
        <v>0</v>
      </c>
      <c r="AL55" s="5">
        <f>G55*(1-0.0259708916728077)</f>
        <v>0</v>
      </c>
      <c r="AM55" s="9" t="s">
        <v>432</v>
      </c>
      <c r="AR55" s="5">
        <f t="shared" si="9"/>
        <v>0</v>
      </c>
      <c r="AS55" s="5">
        <f>F55*AK55</f>
        <v>0</v>
      </c>
      <c r="AT55" s="5">
        <f>F55*AL55</f>
        <v>0</v>
      </c>
      <c r="AU55" s="9" t="s">
        <v>94</v>
      </c>
      <c r="AV55" s="9" t="s">
        <v>241</v>
      </c>
      <c r="AW55" s="4" t="s">
        <v>223</v>
      </c>
      <c r="AY55" s="5">
        <f t="shared" si="10"/>
        <v>0</v>
      </c>
      <c r="AZ55" s="5">
        <f>G55/(100-BA55)*100</f>
        <v>0</v>
      </c>
      <c r="BA55" s="5">
        <v>0</v>
      </c>
      <c r="BB55" s="5" t="e">
        <f>#REF!</f>
        <v>#REF!</v>
      </c>
      <c r="BD55" s="5">
        <f>F55*AK55</f>
        <v>0</v>
      </c>
      <c r="BE55" s="5">
        <f>F55*AL55</f>
        <v>0</v>
      </c>
      <c r="BF55" s="5">
        <f t="shared" si="11"/>
        <v>0</v>
      </c>
      <c r="BG55" s="5"/>
      <c r="BH55" s="5">
        <v>783</v>
      </c>
      <c r="BS55" s="5" t="str">
        <f t="shared" si="12"/>
        <v>21</v>
      </c>
    </row>
    <row r="56" spans="1:71" ht="15" customHeight="1">
      <c r="A56" s="35" t="s">
        <v>478</v>
      </c>
      <c r="B56" s="26" t="s">
        <v>473</v>
      </c>
      <c r="C56" s="194" t="s">
        <v>394</v>
      </c>
      <c r="D56" s="194"/>
      <c r="E56" s="26" t="s">
        <v>423</v>
      </c>
      <c r="F56" s="5">
        <v>0.2775</v>
      </c>
      <c r="G56" s="5">
        <v>0</v>
      </c>
      <c r="H56" s="9" t="s">
        <v>302</v>
      </c>
      <c r="I56" s="5">
        <f>F56*AK56</f>
        <v>0</v>
      </c>
      <c r="J56" s="5">
        <f>F56*AL56</f>
        <v>0</v>
      </c>
      <c r="K56" s="5">
        <f t="shared" si="0"/>
        <v>0</v>
      </c>
      <c r="L56" s="56" t="s">
        <v>189</v>
      </c>
      <c r="V56" s="5">
        <f t="shared" si="1"/>
        <v>0</v>
      </c>
      <c r="X56" s="5">
        <f t="shared" si="2"/>
        <v>0</v>
      </c>
      <c r="Y56" s="5">
        <f t="shared" si="3"/>
        <v>0</v>
      </c>
      <c r="Z56" s="5">
        <f t="shared" si="4"/>
        <v>0</v>
      </c>
      <c r="AA56" s="5">
        <f t="shared" si="5"/>
        <v>0</v>
      </c>
      <c r="AB56" s="5">
        <f t="shared" si="6"/>
        <v>0</v>
      </c>
      <c r="AC56" s="5">
        <f t="shared" si="7"/>
        <v>0</v>
      </c>
      <c r="AD56" s="5">
        <f t="shared" si="8"/>
        <v>0</v>
      </c>
      <c r="AE56" s="4" t="s">
        <v>470</v>
      </c>
      <c r="AF56" s="5">
        <f>IF(AJ56=0,K56,0)</f>
        <v>0</v>
      </c>
      <c r="AG56" s="5">
        <f>IF(AJ56=12,K56,0)</f>
        <v>0</v>
      </c>
      <c r="AH56" s="5">
        <f>IF(AJ56=21,K56,0)</f>
        <v>0</v>
      </c>
      <c r="AJ56" s="5">
        <v>21</v>
      </c>
      <c r="AK56" s="5">
        <f>G56*0.189643849573916</f>
        <v>0</v>
      </c>
      <c r="AL56" s="5">
        <f>G56*(1-0.189643849573916)</f>
        <v>0</v>
      </c>
      <c r="AM56" s="9" t="s">
        <v>432</v>
      </c>
      <c r="AR56" s="5">
        <f t="shared" si="9"/>
        <v>0</v>
      </c>
      <c r="AS56" s="5">
        <f>F56*AK56</f>
        <v>0</v>
      </c>
      <c r="AT56" s="5">
        <f>F56*AL56</f>
        <v>0</v>
      </c>
      <c r="AU56" s="9" t="s">
        <v>94</v>
      </c>
      <c r="AV56" s="9" t="s">
        <v>241</v>
      </c>
      <c r="AW56" s="4" t="s">
        <v>223</v>
      </c>
      <c r="AY56" s="5">
        <f t="shared" si="10"/>
        <v>0</v>
      </c>
      <c r="AZ56" s="5">
        <f>G56/(100-BA56)*100</f>
        <v>0</v>
      </c>
      <c r="BA56" s="5">
        <v>0</v>
      </c>
      <c r="BB56" s="5" t="e">
        <f>#REF!</f>
        <v>#REF!</v>
      </c>
      <c r="BD56" s="5">
        <f>F56*AK56</f>
        <v>0</v>
      </c>
      <c r="BE56" s="5">
        <f>F56*AL56</f>
        <v>0</v>
      </c>
      <c r="BF56" s="5">
        <f t="shared" si="11"/>
        <v>0</v>
      </c>
      <c r="BG56" s="5"/>
      <c r="BH56" s="5">
        <v>783</v>
      </c>
      <c r="BS56" s="5" t="str">
        <f t="shared" si="12"/>
        <v>21</v>
      </c>
    </row>
    <row r="57" spans="1:71" ht="15" customHeight="1">
      <c r="A57" s="35" t="s">
        <v>388</v>
      </c>
      <c r="B57" s="26" t="s">
        <v>200</v>
      </c>
      <c r="C57" s="194" t="s">
        <v>481</v>
      </c>
      <c r="D57" s="194"/>
      <c r="E57" s="26" t="s">
        <v>423</v>
      </c>
      <c r="F57" s="5">
        <v>3.6445</v>
      </c>
      <c r="G57" s="5">
        <v>0</v>
      </c>
      <c r="H57" s="9" t="s">
        <v>302</v>
      </c>
      <c r="I57" s="5">
        <f>F57*AK57</f>
        <v>0</v>
      </c>
      <c r="J57" s="5">
        <f>F57*AL57</f>
        <v>0</v>
      </c>
      <c r="K57" s="5">
        <f t="shared" si="0"/>
        <v>0</v>
      </c>
      <c r="L57" s="56" t="s">
        <v>189</v>
      </c>
      <c r="V57" s="5">
        <f t="shared" si="1"/>
        <v>0</v>
      </c>
      <c r="X57" s="5">
        <f t="shared" si="2"/>
        <v>0</v>
      </c>
      <c r="Y57" s="5">
        <f t="shared" si="3"/>
        <v>0</v>
      </c>
      <c r="Z57" s="5">
        <f t="shared" si="4"/>
        <v>0</v>
      </c>
      <c r="AA57" s="5">
        <f t="shared" si="5"/>
        <v>0</v>
      </c>
      <c r="AB57" s="5">
        <f t="shared" si="6"/>
        <v>0</v>
      </c>
      <c r="AC57" s="5">
        <f t="shared" si="7"/>
        <v>0</v>
      </c>
      <c r="AD57" s="5">
        <f t="shared" si="8"/>
        <v>0</v>
      </c>
      <c r="AE57" s="4" t="s">
        <v>470</v>
      </c>
      <c r="AF57" s="5">
        <f>IF(AJ57=0,K57,0)</f>
        <v>0</v>
      </c>
      <c r="AG57" s="5">
        <f>IF(AJ57=12,K57,0)</f>
        <v>0</v>
      </c>
      <c r="AH57" s="5">
        <f>IF(AJ57=21,K57,0)</f>
        <v>0</v>
      </c>
      <c r="AJ57" s="5">
        <v>21</v>
      </c>
      <c r="AK57" s="5">
        <f>G57*0.0486804039745887</f>
        <v>0</v>
      </c>
      <c r="AL57" s="5">
        <f>G57*(1-0.0486804039745887)</f>
        <v>0</v>
      </c>
      <c r="AM57" s="9" t="s">
        <v>432</v>
      </c>
      <c r="AR57" s="5">
        <f t="shared" si="9"/>
        <v>0</v>
      </c>
      <c r="AS57" s="5">
        <f>F57*AK57</f>
        <v>0</v>
      </c>
      <c r="AT57" s="5">
        <f>F57*AL57</f>
        <v>0</v>
      </c>
      <c r="AU57" s="9" t="s">
        <v>94</v>
      </c>
      <c r="AV57" s="9" t="s">
        <v>241</v>
      </c>
      <c r="AW57" s="4" t="s">
        <v>223</v>
      </c>
      <c r="AY57" s="5">
        <f t="shared" si="10"/>
        <v>0</v>
      </c>
      <c r="AZ57" s="5">
        <f>G57/(100-BA57)*100</f>
        <v>0</v>
      </c>
      <c r="BA57" s="5">
        <v>0</v>
      </c>
      <c r="BB57" s="5" t="e">
        <f>#REF!</f>
        <v>#REF!</v>
      </c>
      <c r="BD57" s="5">
        <f>F57*AK57</f>
        <v>0</v>
      </c>
      <c r="BE57" s="5">
        <f>F57*AL57</f>
        <v>0</v>
      </c>
      <c r="BF57" s="5">
        <f t="shared" si="11"/>
        <v>0</v>
      </c>
      <c r="BG57" s="5"/>
      <c r="BH57" s="5">
        <v>783</v>
      </c>
      <c r="BS57" s="5" t="str">
        <f t="shared" si="12"/>
        <v>21</v>
      </c>
    </row>
    <row r="58" spans="1:71" ht="15" customHeight="1">
      <c r="A58" s="35" t="s">
        <v>240</v>
      </c>
      <c r="B58" s="26" t="s">
        <v>337</v>
      </c>
      <c r="C58" s="194" t="s">
        <v>403</v>
      </c>
      <c r="D58" s="194"/>
      <c r="E58" s="26" t="s">
        <v>423</v>
      </c>
      <c r="F58" s="5">
        <v>3.6445</v>
      </c>
      <c r="G58" s="5">
        <v>0</v>
      </c>
      <c r="H58" s="9" t="s">
        <v>302</v>
      </c>
      <c r="I58" s="5">
        <f>F58*AK58</f>
        <v>0</v>
      </c>
      <c r="J58" s="5">
        <f>F58*AL58</f>
        <v>0</v>
      </c>
      <c r="K58" s="5">
        <f t="shared" si="0"/>
        <v>0</v>
      </c>
      <c r="L58" s="56" t="s">
        <v>189</v>
      </c>
      <c r="V58" s="5">
        <f t="shared" si="1"/>
        <v>0</v>
      </c>
      <c r="X58" s="5">
        <f t="shared" si="2"/>
        <v>0</v>
      </c>
      <c r="Y58" s="5">
        <f t="shared" si="3"/>
        <v>0</v>
      </c>
      <c r="Z58" s="5">
        <f t="shared" si="4"/>
        <v>0</v>
      </c>
      <c r="AA58" s="5">
        <f t="shared" si="5"/>
        <v>0</v>
      </c>
      <c r="AB58" s="5">
        <f t="shared" si="6"/>
        <v>0</v>
      </c>
      <c r="AC58" s="5">
        <f t="shared" si="7"/>
        <v>0</v>
      </c>
      <c r="AD58" s="5">
        <f t="shared" si="8"/>
        <v>0</v>
      </c>
      <c r="AE58" s="4" t="s">
        <v>470</v>
      </c>
      <c r="AF58" s="5">
        <f>IF(AJ58=0,K58,0)</f>
        <v>0</v>
      </c>
      <c r="AG58" s="5">
        <f>IF(AJ58=12,K58,0)</f>
        <v>0</v>
      </c>
      <c r="AH58" s="5">
        <f>IF(AJ58=21,K58,0)</f>
        <v>0</v>
      </c>
      <c r="AJ58" s="5">
        <v>21</v>
      </c>
      <c r="AK58" s="5">
        <f>G58*0.196676244877865</f>
        <v>0</v>
      </c>
      <c r="AL58" s="5">
        <f>G58*(1-0.196676244877865)</f>
        <v>0</v>
      </c>
      <c r="AM58" s="9" t="s">
        <v>432</v>
      </c>
      <c r="AR58" s="5">
        <f t="shared" si="9"/>
        <v>0</v>
      </c>
      <c r="AS58" s="5">
        <f>F58*AK58</f>
        <v>0</v>
      </c>
      <c r="AT58" s="5">
        <f>F58*AL58</f>
        <v>0</v>
      </c>
      <c r="AU58" s="9" t="s">
        <v>94</v>
      </c>
      <c r="AV58" s="9" t="s">
        <v>241</v>
      </c>
      <c r="AW58" s="4" t="s">
        <v>223</v>
      </c>
      <c r="AY58" s="5">
        <f t="shared" si="10"/>
        <v>0</v>
      </c>
      <c r="AZ58" s="5">
        <f>G58/(100-BA58)*100</f>
        <v>0</v>
      </c>
      <c r="BA58" s="5">
        <v>0</v>
      </c>
      <c r="BB58" s="5" t="e">
        <f>#REF!</f>
        <v>#REF!</v>
      </c>
      <c r="BD58" s="5">
        <f>F58*AK58</f>
        <v>0</v>
      </c>
      <c r="BE58" s="5">
        <f>F58*AL58</f>
        <v>0</v>
      </c>
      <c r="BF58" s="5">
        <f t="shared" si="11"/>
        <v>0</v>
      </c>
      <c r="BG58" s="5"/>
      <c r="BH58" s="5">
        <v>783</v>
      </c>
      <c r="BS58" s="5" t="str">
        <f t="shared" si="12"/>
        <v>21</v>
      </c>
    </row>
    <row r="59" spans="1:43" ht="15" customHeight="1">
      <c r="A59" s="23" t="s">
        <v>293</v>
      </c>
      <c r="B59" s="61" t="s">
        <v>226</v>
      </c>
      <c r="C59" s="256" t="s">
        <v>7</v>
      </c>
      <c r="D59" s="256"/>
      <c r="E59" s="6" t="s">
        <v>401</v>
      </c>
      <c r="F59" s="6" t="s">
        <v>401</v>
      </c>
      <c r="G59" s="6" t="s">
        <v>401</v>
      </c>
      <c r="H59" s="6" t="s">
        <v>401</v>
      </c>
      <c r="I59" s="69">
        <f>SUM(I60:I67)</f>
        <v>0</v>
      </c>
      <c r="J59" s="69">
        <f>SUM(J60:J67)</f>
        <v>0</v>
      </c>
      <c r="K59" s="69">
        <f>SUM(K60:K67)</f>
        <v>0</v>
      </c>
      <c r="L59" s="55" t="s">
        <v>293</v>
      </c>
      <c r="AE59" s="4" t="s">
        <v>470</v>
      </c>
      <c r="AO59" s="69">
        <f>SUM(AF60:AF67)</f>
        <v>0</v>
      </c>
      <c r="AP59" s="69">
        <f>SUM(AG60:AG67)</f>
        <v>0</v>
      </c>
      <c r="AQ59" s="69">
        <f>SUM(AH60:AH67)</f>
        <v>0</v>
      </c>
    </row>
    <row r="60" spans="1:71" ht="15" customHeight="1">
      <c r="A60" s="35" t="s">
        <v>422</v>
      </c>
      <c r="B60" s="26" t="s">
        <v>198</v>
      </c>
      <c r="C60" s="194" t="s">
        <v>128</v>
      </c>
      <c r="D60" s="194"/>
      <c r="E60" s="26" t="s">
        <v>423</v>
      </c>
      <c r="F60" s="5">
        <v>80.438</v>
      </c>
      <c r="G60" s="5">
        <v>0</v>
      </c>
      <c r="H60" s="9" t="s">
        <v>302</v>
      </c>
      <c r="I60" s="5">
        <f>F60*AK60</f>
        <v>0</v>
      </c>
      <c r="J60" s="5">
        <f>F60*AL60</f>
        <v>0</v>
      </c>
      <c r="K60" s="5">
        <f aca="true" t="shared" si="13" ref="K60:K67">F60*G60</f>
        <v>0</v>
      </c>
      <c r="L60" s="56" t="s">
        <v>189</v>
      </c>
      <c r="V60" s="5">
        <f aca="true" t="shared" si="14" ref="V60:V67">IF(AM60="5",BF60,0)</f>
        <v>0</v>
      </c>
      <c r="X60" s="5">
        <f aca="true" t="shared" si="15" ref="X60:X67">IF(AM60="1",BD60,0)</f>
        <v>0</v>
      </c>
      <c r="Y60" s="5">
        <f aca="true" t="shared" si="16" ref="Y60:Y67">IF(AM60="1",BE60,0)</f>
        <v>0</v>
      </c>
      <c r="Z60" s="5">
        <f aca="true" t="shared" si="17" ref="Z60:Z67">IF(AM60="7",BD60,0)</f>
        <v>0</v>
      </c>
      <c r="AA60" s="5">
        <f aca="true" t="shared" si="18" ref="AA60:AA67">IF(AM60="7",BE60,0)</f>
        <v>0</v>
      </c>
      <c r="AB60" s="5">
        <f aca="true" t="shared" si="19" ref="AB60:AB67">IF(AM60="2",BD60,0)</f>
        <v>0</v>
      </c>
      <c r="AC60" s="5">
        <f aca="true" t="shared" si="20" ref="AC60:AC67">IF(AM60="2",BE60,0)</f>
        <v>0</v>
      </c>
      <c r="AD60" s="5">
        <f aca="true" t="shared" si="21" ref="AD60:AD67">IF(AM60="0",BF60,0)</f>
        <v>0</v>
      </c>
      <c r="AE60" s="4" t="s">
        <v>470</v>
      </c>
      <c r="AF60" s="5">
        <f>IF(AJ60=0,K60,0)</f>
        <v>0</v>
      </c>
      <c r="AG60" s="5">
        <f>IF(AJ60=12,K60,0)</f>
        <v>0</v>
      </c>
      <c r="AH60" s="5">
        <f>IF(AJ60=21,K60,0)</f>
        <v>0</v>
      </c>
      <c r="AJ60" s="5">
        <v>21</v>
      </c>
      <c r="AK60" s="5">
        <f>G60*0.248584264260038</f>
        <v>0</v>
      </c>
      <c r="AL60" s="5">
        <f>G60*(1-0.248584264260038)</f>
        <v>0</v>
      </c>
      <c r="AM60" s="9" t="s">
        <v>432</v>
      </c>
      <c r="AR60" s="5">
        <f aca="true" t="shared" si="22" ref="AR60:AR67">AS60+AT60</f>
        <v>0</v>
      </c>
      <c r="AS60" s="5">
        <f>F60*AK60</f>
        <v>0</v>
      </c>
      <c r="AT60" s="5">
        <f>F60*AL60</f>
        <v>0</v>
      </c>
      <c r="AU60" s="9" t="s">
        <v>387</v>
      </c>
      <c r="AV60" s="9" t="s">
        <v>241</v>
      </c>
      <c r="AW60" s="4" t="s">
        <v>223</v>
      </c>
      <c r="AY60" s="5">
        <f aca="true" t="shared" si="23" ref="AY60:AY67">AS60+AT60</f>
        <v>0</v>
      </c>
      <c r="AZ60" s="5">
        <f>G60/(100-BA60)*100</f>
        <v>0</v>
      </c>
      <c r="BA60" s="5">
        <v>0</v>
      </c>
      <c r="BB60" s="5" t="e">
        <f>#REF!</f>
        <v>#REF!</v>
      </c>
      <c r="BD60" s="5">
        <f>F60*AK60</f>
        <v>0</v>
      </c>
      <c r="BE60" s="5">
        <f>F60*AL60</f>
        <v>0</v>
      </c>
      <c r="BF60" s="5">
        <f aca="true" t="shared" si="24" ref="BF60:BF67">F60*G60</f>
        <v>0</v>
      </c>
      <c r="BG60" s="5"/>
      <c r="BH60" s="5">
        <v>784</v>
      </c>
      <c r="BS60" s="5" t="str">
        <f aca="true" t="shared" si="25" ref="BS60:BS67">H60</f>
        <v>21</v>
      </c>
    </row>
    <row r="61" spans="1:71" ht="15" customHeight="1">
      <c r="A61" s="35" t="s">
        <v>245</v>
      </c>
      <c r="B61" s="26" t="s">
        <v>328</v>
      </c>
      <c r="C61" s="194" t="s">
        <v>396</v>
      </c>
      <c r="D61" s="194"/>
      <c r="E61" s="26" t="s">
        <v>423</v>
      </c>
      <c r="F61" s="5">
        <v>244.36</v>
      </c>
      <c r="G61" s="5">
        <v>0</v>
      </c>
      <c r="H61" s="9" t="s">
        <v>302</v>
      </c>
      <c r="I61" s="5">
        <f>F61*AK61</f>
        <v>0</v>
      </c>
      <c r="J61" s="5">
        <f>F61*AL61</f>
        <v>0</v>
      </c>
      <c r="K61" s="5">
        <f t="shared" si="13"/>
        <v>0</v>
      </c>
      <c r="L61" s="56" t="s">
        <v>189</v>
      </c>
      <c r="V61" s="5">
        <f t="shared" si="14"/>
        <v>0</v>
      </c>
      <c r="X61" s="5">
        <f t="shared" si="15"/>
        <v>0</v>
      </c>
      <c r="Y61" s="5">
        <f t="shared" si="16"/>
        <v>0</v>
      </c>
      <c r="Z61" s="5">
        <f t="shared" si="17"/>
        <v>0</v>
      </c>
      <c r="AA61" s="5">
        <f t="shared" si="18"/>
        <v>0</v>
      </c>
      <c r="AB61" s="5">
        <f t="shared" si="19"/>
        <v>0</v>
      </c>
      <c r="AC61" s="5">
        <f t="shared" si="20"/>
        <v>0</v>
      </c>
      <c r="AD61" s="5">
        <f t="shared" si="21"/>
        <v>0</v>
      </c>
      <c r="AE61" s="4" t="s">
        <v>470</v>
      </c>
      <c r="AF61" s="5">
        <f>IF(AJ61=0,K61,0)</f>
        <v>0</v>
      </c>
      <c r="AG61" s="5">
        <f>IF(AJ61=12,K61,0)</f>
        <v>0</v>
      </c>
      <c r="AH61" s="5">
        <f>IF(AJ61=21,K61,0)</f>
        <v>0</v>
      </c>
      <c r="AJ61" s="5">
        <v>21</v>
      </c>
      <c r="AK61" s="5">
        <f>G61*0.642232499374233</f>
        <v>0</v>
      </c>
      <c r="AL61" s="5">
        <f>G61*(1-0.642232499374233)</f>
        <v>0</v>
      </c>
      <c r="AM61" s="9" t="s">
        <v>432</v>
      </c>
      <c r="AR61" s="5">
        <f t="shared" si="22"/>
        <v>0</v>
      </c>
      <c r="AS61" s="5">
        <f>F61*AK61</f>
        <v>0</v>
      </c>
      <c r="AT61" s="5">
        <f>F61*AL61</f>
        <v>0</v>
      </c>
      <c r="AU61" s="9" t="s">
        <v>387</v>
      </c>
      <c r="AV61" s="9" t="s">
        <v>241</v>
      </c>
      <c r="AW61" s="4" t="s">
        <v>223</v>
      </c>
      <c r="AY61" s="5">
        <f t="shared" si="23"/>
        <v>0</v>
      </c>
      <c r="AZ61" s="5">
        <f>G61/(100-BA61)*100</f>
        <v>0</v>
      </c>
      <c r="BA61" s="5">
        <v>0</v>
      </c>
      <c r="BB61" s="5" t="e">
        <f>#REF!</f>
        <v>#REF!</v>
      </c>
      <c r="BD61" s="5">
        <f>F61*AK61</f>
        <v>0</v>
      </c>
      <c r="BE61" s="5">
        <f>F61*AL61</f>
        <v>0</v>
      </c>
      <c r="BF61" s="5">
        <f t="shared" si="24"/>
        <v>0</v>
      </c>
      <c r="BG61" s="5"/>
      <c r="BH61" s="5">
        <v>784</v>
      </c>
      <c r="BS61" s="5" t="str">
        <f t="shared" si="25"/>
        <v>21</v>
      </c>
    </row>
    <row r="62" spans="1:71" ht="15" customHeight="1">
      <c r="A62" s="35" t="s">
        <v>272</v>
      </c>
      <c r="B62" s="26" t="s">
        <v>153</v>
      </c>
      <c r="C62" s="194" t="s">
        <v>56</v>
      </c>
      <c r="D62" s="194"/>
      <c r="E62" s="26" t="s">
        <v>358</v>
      </c>
      <c r="F62" s="5">
        <v>131.6</v>
      </c>
      <c r="G62" s="5">
        <v>0</v>
      </c>
      <c r="H62" s="9" t="s">
        <v>302</v>
      </c>
      <c r="I62" s="5">
        <f>F62*AK62</f>
        <v>0</v>
      </c>
      <c r="J62" s="5">
        <f>F62*AL62</f>
        <v>0</v>
      </c>
      <c r="K62" s="5">
        <f t="shared" si="13"/>
        <v>0</v>
      </c>
      <c r="L62" s="56" t="s">
        <v>189</v>
      </c>
      <c r="V62" s="5">
        <f t="shared" si="14"/>
        <v>0</v>
      </c>
      <c r="X62" s="5">
        <f t="shared" si="15"/>
        <v>0</v>
      </c>
      <c r="Y62" s="5">
        <f t="shared" si="16"/>
        <v>0</v>
      </c>
      <c r="Z62" s="5">
        <f t="shared" si="17"/>
        <v>0</v>
      </c>
      <c r="AA62" s="5">
        <f t="shared" si="18"/>
        <v>0</v>
      </c>
      <c r="AB62" s="5">
        <f t="shared" si="19"/>
        <v>0</v>
      </c>
      <c r="AC62" s="5">
        <f t="shared" si="20"/>
        <v>0</v>
      </c>
      <c r="AD62" s="5">
        <f t="shared" si="21"/>
        <v>0</v>
      </c>
      <c r="AE62" s="4" t="s">
        <v>470</v>
      </c>
      <c r="AF62" s="5">
        <f>IF(AJ62=0,K62,0)</f>
        <v>0</v>
      </c>
      <c r="AG62" s="5">
        <f>IF(AJ62=12,K62,0)</f>
        <v>0</v>
      </c>
      <c r="AH62" s="5">
        <f>IF(AJ62=21,K62,0)</f>
        <v>0</v>
      </c>
      <c r="AJ62" s="5">
        <v>21</v>
      </c>
      <c r="AK62" s="5">
        <f>G62*0.0794326241134752</f>
        <v>0</v>
      </c>
      <c r="AL62" s="5">
        <f>G62*(1-0.0794326241134752)</f>
        <v>0</v>
      </c>
      <c r="AM62" s="9" t="s">
        <v>432</v>
      </c>
      <c r="AR62" s="5">
        <f t="shared" si="22"/>
        <v>0</v>
      </c>
      <c r="AS62" s="5">
        <f>F62*AK62</f>
        <v>0</v>
      </c>
      <c r="AT62" s="5">
        <f>F62*AL62</f>
        <v>0</v>
      </c>
      <c r="AU62" s="9" t="s">
        <v>387</v>
      </c>
      <c r="AV62" s="9" t="s">
        <v>241</v>
      </c>
      <c r="AW62" s="4" t="s">
        <v>223</v>
      </c>
      <c r="AY62" s="5">
        <f t="shared" si="23"/>
        <v>0</v>
      </c>
      <c r="AZ62" s="5">
        <f>G62/(100-BA62)*100</f>
        <v>0</v>
      </c>
      <c r="BA62" s="5">
        <v>0</v>
      </c>
      <c r="BB62" s="5" t="e">
        <f>#REF!</f>
        <v>#REF!</v>
      </c>
      <c r="BD62" s="5">
        <f>F62*AK62</f>
        <v>0</v>
      </c>
      <c r="BE62" s="5">
        <f>F62*AL62</f>
        <v>0</v>
      </c>
      <c r="BF62" s="5">
        <f t="shared" si="24"/>
        <v>0</v>
      </c>
      <c r="BG62" s="5"/>
      <c r="BH62" s="5">
        <v>784</v>
      </c>
      <c r="BS62" s="5" t="str">
        <f t="shared" si="25"/>
        <v>21</v>
      </c>
    </row>
    <row r="63" spans="1:71" ht="15" customHeight="1">
      <c r="A63" s="35" t="s">
        <v>149</v>
      </c>
      <c r="B63" s="26" t="s">
        <v>376</v>
      </c>
      <c r="C63" s="194" t="s">
        <v>441</v>
      </c>
      <c r="D63" s="194"/>
      <c r="E63" s="26" t="s">
        <v>423</v>
      </c>
      <c r="F63" s="5">
        <v>20.497</v>
      </c>
      <c r="G63" s="5">
        <v>0</v>
      </c>
      <c r="H63" s="9" t="s">
        <v>302</v>
      </c>
      <c r="I63" s="5">
        <f>F63*AK63</f>
        <v>0</v>
      </c>
      <c r="J63" s="5">
        <f>F63*AL63</f>
        <v>0</v>
      </c>
      <c r="K63" s="5">
        <f t="shared" si="13"/>
        <v>0</v>
      </c>
      <c r="L63" s="56" t="s">
        <v>189</v>
      </c>
      <c r="V63" s="5">
        <f t="shared" si="14"/>
        <v>0</v>
      </c>
      <c r="X63" s="5">
        <f t="shared" si="15"/>
        <v>0</v>
      </c>
      <c r="Y63" s="5">
        <f t="shared" si="16"/>
        <v>0</v>
      </c>
      <c r="Z63" s="5">
        <f t="shared" si="17"/>
        <v>0</v>
      </c>
      <c r="AA63" s="5">
        <f t="shared" si="18"/>
        <v>0</v>
      </c>
      <c r="AB63" s="5">
        <f t="shared" si="19"/>
        <v>0</v>
      </c>
      <c r="AC63" s="5">
        <f t="shared" si="20"/>
        <v>0</v>
      </c>
      <c r="AD63" s="5">
        <f t="shared" si="21"/>
        <v>0</v>
      </c>
      <c r="AE63" s="4" t="s">
        <v>470</v>
      </c>
      <c r="AF63" s="5">
        <f>IF(AJ63=0,K63,0)</f>
        <v>0</v>
      </c>
      <c r="AG63" s="5">
        <f>IF(AJ63=12,K63,0)</f>
        <v>0</v>
      </c>
      <c r="AH63" s="5">
        <f>IF(AJ63=21,K63,0)</f>
        <v>0</v>
      </c>
      <c r="AJ63" s="5">
        <v>21</v>
      </c>
      <c r="AK63" s="5">
        <f>G63*0.156683753765907</f>
        <v>0</v>
      </c>
      <c r="AL63" s="5">
        <f>G63*(1-0.156683753765907)</f>
        <v>0</v>
      </c>
      <c r="AM63" s="9" t="s">
        <v>432</v>
      </c>
      <c r="AR63" s="5">
        <f t="shared" si="22"/>
        <v>0</v>
      </c>
      <c r="AS63" s="5">
        <f>F63*AK63</f>
        <v>0</v>
      </c>
      <c r="AT63" s="5">
        <f>F63*AL63</f>
        <v>0</v>
      </c>
      <c r="AU63" s="9" t="s">
        <v>387</v>
      </c>
      <c r="AV63" s="9" t="s">
        <v>241</v>
      </c>
      <c r="AW63" s="4" t="s">
        <v>223</v>
      </c>
      <c r="AY63" s="5">
        <f t="shared" si="23"/>
        <v>0</v>
      </c>
      <c r="AZ63" s="5">
        <f>G63/(100-BA63)*100</f>
        <v>0</v>
      </c>
      <c r="BA63" s="5">
        <v>0</v>
      </c>
      <c r="BB63" s="5" t="e">
        <f>#REF!</f>
        <v>#REF!</v>
      </c>
      <c r="BD63" s="5">
        <f>F63*AK63</f>
        <v>0</v>
      </c>
      <c r="BE63" s="5">
        <f>F63*AL63</f>
        <v>0</v>
      </c>
      <c r="BF63" s="5">
        <f t="shared" si="24"/>
        <v>0</v>
      </c>
      <c r="BG63" s="5"/>
      <c r="BH63" s="5">
        <v>784</v>
      </c>
      <c r="BS63" s="5" t="str">
        <f t="shared" si="25"/>
        <v>21</v>
      </c>
    </row>
    <row r="64" spans="1:71" ht="15" customHeight="1">
      <c r="A64" s="35" t="s">
        <v>424</v>
      </c>
      <c r="B64" s="26" t="s">
        <v>28</v>
      </c>
      <c r="C64" s="194" t="s">
        <v>21</v>
      </c>
      <c r="D64" s="194"/>
      <c r="E64" s="26" t="s">
        <v>423</v>
      </c>
      <c r="F64" s="5">
        <v>20.497</v>
      </c>
      <c r="G64" s="5">
        <v>0</v>
      </c>
      <c r="H64" s="9" t="s">
        <v>302</v>
      </c>
      <c r="I64" s="5">
        <f>F64*AK64</f>
        <v>0</v>
      </c>
      <c r="J64" s="5">
        <f>F64*AL64</f>
        <v>0</v>
      </c>
      <c r="K64" s="5">
        <f t="shared" si="13"/>
        <v>0</v>
      </c>
      <c r="L64" s="56" t="s">
        <v>189</v>
      </c>
      <c r="V64" s="5">
        <f t="shared" si="14"/>
        <v>0</v>
      </c>
      <c r="X64" s="5">
        <f t="shared" si="15"/>
        <v>0</v>
      </c>
      <c r="Y64" s="5">
        <f t="shared" si="16"/>
        <v>0</v>
      </c>
      <c r="Z64" s="5">
        <f t="shared" si="17"/>
        <v>0</v>
      </c>
      <c r="AA64" s="5">
        <f t="shared" si="18"/>
        <v>0</v>
      </c>
      <c r="AB64" s="5">
        <f t="shared" si="19"/>
        <v>0</v>
      </c>
      <c r="AC64" s="5">
        <f t="shared" si="20"/>
        <v>0</v>
      </c>
      <c r="AD64" s="5">
        <f t="shared" si="21"/>
        <v>0</v>
      </c>
      <c r="AE64" s="4" t="s">
        <v>470</v>
      </c>
      <c r="AF64" s="5">
        <f>IF(AJ64=0,K64,0)</f>
        <v>0</v>
      </c>
      <c r="AG64" s="5">
        <f>IF(AJ64=12,K64,0)</f>
        <v>0</v>
      </c>
      <c r="AH64" s="5">
        <f>IF(AJ64=21,K64,0)</f>
        <v>0</v>
      </c>
      <c r="AJ64" s="5">
        <v>21</v>
      </c>
      <c r="AK64" s="5">
        <f>G64*0.269759229066834</f>
        <v>0</v>
      </c>
      <c r="AL64" s="5">
        <f>G64*(1-0.269759229066834)</f>
        <v>0</v>
      </c>
      <c r="AM64" s="9" t="s">
        <v>432</v>
      </c>
      <c r="AR64" s="5">
        <f t="shared" si="22"/>
        <v>0</v>
      </c>
      <c r="AS64" s="5">
        <f>F64*AK64</f>
        <v>0</v>
      </c>
      <c r="AT64" s="5">
        <f>F64*AL64</f>
        <v>0</v>
      </c>
      <c r="AU64" s="9" t="s">
        <v>387</v>
      </c>
      <c r="AV64" s="9" t="s">
        <v>241</v>
      </c>
      <c r="AW64" s="4" t="s">
        <v>223</v>
      </c>
      <c r="AY64" s="5">
        <f t="shared" si="23"/>
        <v>0</v>
      </c>
      <c r="AZ64" s="5">
        <f>G64/(100-BA64)*100</f>
        <v>0</v>
      </c>
      <c r="BA64" s="5">
        <v>0</v>
      </c>
      <c r="BB64" s="5" t="e">
        <f>#REF!</f>
        <v>#REF!</v>
      </c>
      <c r="BD64" s="5">
        <f>F64*AK64</f>
        <v>0</v>
      </c>
      <c r="BE64" s="5">
        <f>F64*AL64</f>
        <v>0</v>
      </c>
      <c r="BF64" s="5">
        <f t="shared" si="24"/>
        <v>0</v>
      </c>
      <c r="BG64" s="5"/>
      <c r="BH64" s="5">
        <v>784</v>
      </c>
      <c r="BS64" s="5" t="str">
        <f t="shared" si="25"/>
        <v>21</v>
      </c>
    </row>
    <row r="65" spans="1:71" ht="15" customHeight="1">
      <c r="A65" s="35" t="s">
        <v>72</v>
      </c>
      <c r="B65" s="26" t="s">
        <v>207</v>
      </c>
      <c r="C65" s="194" t="s">
        <v>262</v>
      </c>
      <c r="D65" s="194"/>
      <c r="E65" s="26" t="s">
        <v>423</v>
      </c>
      <c r="F65" s="5">
        <v>629.491</v>
      </c>
      <c r="G65" s="5">
        <v>0</v>
      </c>
      <c r="H65" s="9" t="s">
        <v>302</v>
      </c>
      <c r="I65" s="5">
        <f>F65*AK65</f>
        <v>0</v>
      </c>
      <c r="J65" s="5">
        <f>F65*AL65</f>
        <v>0</v>
      </c>
      <c r="K65" s="5">
        <f t="shared" si="13"/>
        <v>0</v>
      </c>
      <c r="L65" s="56" t="s">
        <v>189</v>
      </c>
      <c r="V65" s="5">
        <f t="shared" si="14"/>
        <v>0</v>
      </c>
      <c r="X65" s="5">
        <f t="shared" si="15"/>
        <v>0</v>
      </c>
      <c r="Y65" s="5">
        <f t="shared" si="16"/>
        <v>0</v>
      </c>
      <c r="Z65" s="5">
        <f t="shared" si="17"/>
        <v>0</v>
      </c>
      <c r="AA65" s="5">
        <f t="shared" si="18"/>
        <v>0</v>
      </c>
      <c r="AB65" s="5">
        <f t="shared" si="19"/>
        <v>0</v>
      </c>
      <c r="AC65" s="5">
        <f t="shared" si="20"/>
        <v>0</v>
      </c>
      <c r="AD65" s="5">
        <f t="shared" si="21"/>
        <v>0</v>
      </c>
      <c r="AE65" s="4" t="s">
        <v>470</v>
      </c>
      <c r="AF65" s="5">
        <f>IF(AJ65=0,K65,0)</f>
        <v>0</v>
      </c>
      <c r="AG65" s="5">
        <f>IF(AJ65=12,K65,0)</f>
        <v>0</v>
      </c>
      <c r="AH65" s="5">
        <f>IF(AJ65=21,K65,0)</f>
        <v>0</v>
      </c>
      <c r="AJ65" s="5">
        <v>21</v>
      </c>
      <c r="AK65" s="5">
        <f>G65*0</f>
        <v>0</v>
      </c>
      <c r="AL65" s="5">
        <f>G65*(1-0)</f>
        <v>0</v>
      </c>
      <c r="AM65" s="9" t="s">
        <v>432</v>
      </c>
      <c r="AR65" s="5">
        <f t="shared" si="22"/>
        <v>0</v>
      </c>
      <c r="AS65" s="5">
        <f>F65*AK65</f>
        <v>0</v>
      </c>
      <c r="AT65" s="5">
        <f>F65*AL65</f>
        <v>0</v>
      </c>
      <c r="AU65" s="9" t="s">
        <v>387</v>
      </c>
      <c r="AV65" s="9" t="s">
        <v>241</v>
      </c>
      <c r="AW65" s="4" t="s">
        <v>223</v>
      </c>
      <c r="AY65" s="5">
        <f t="shared" si="23"/>
        <v>0</v>
      </c>
      <c r="AZ65" s="5">
        <f>G65/(100-BA65)*100</f>
        <v>0</v>
      </c>
      <c r="BA65" s="5">
        <v>0</v>
      </c>
      <c r="BB65" s="5" t="e">
        <f>#REF!</f>
        <v>#REF!</v>
      </c>
      <c r="BD65" s="5">
        <f>F65*AK65</f>
        <v>0</v>
      </c>
      <c r="BE65" s="5">
        <f>F65*AL65</f>
        <v>0</v>
      </c>
      <c r="BF65" s="5">
        <f t="shared" si="24"/>
        <v>0</v>
      </c>
      <c r="BG65" s="5"/>
      <c r="BH65" s="5">
        <v>784</v>
      </c>
      <c r="BS65" s="5" t="str">
        <f t="shared" si="25"/>
        <v>21</v>
      </c>
    </row>
    <row r="66" spans="1:71" ht="15" customHeight="1">
      <c r="A66" s="35" t="s">
        <v>139</v>
      </c>
      <c r="B66" s="26" t="s">
        <v>359</v>
      </c>
      <c r="C66" s="194" t="s">
        <v>305</v>
      </c>
      <c r="D66" s="194"/>
      <c r="E66" s="26" t="s">
        <v>423</v>
      </c>
      <c r="F66" s="5">
        <v>629.491</v>
      </c>
      <c r="G66" s="5">
        <v>0</v>
      </c>
      <c r="H66" s="9" t="s">
        <v>302</v>
      </c>
      <c r="I66" s="5">
        <f>F66*AK66</f>
        <v>0</v>
      </c>
      <c r="J66" s="5">
        <f>F66*AL66</f>
        <v>0</v>
      </c>
      <c r="K66" s="5">
        <f t="shared" si="13"/>
        <v>0</v>
      </c>
      <c r="L66" s="56" t="s">
        <v>189</v>
      </c>
      <c r="V66" s="5">
        <f t="shared" si="14"/>
        <v>0</v>
      </c>
      <c r="X66" s="5">
        <f t="shared" si="15"/>
        <v>0</v>
      </c>
      <c r="Y66" s="5">
        <f t="shared" si="16"/>
        <v>0</v>
      </c>
      <c r="Z66" s="5">
        <f t="shared" si="17"/>
        <v>0</v>
      </c>
      <c r="AA66" s="5">
        <f t="shared" si="18"/>
        <v>0</v>
      </c>
      <c r="AB66" s="5">
        <f t="shared" si="19"/>
        <v>0</v>
      </c>
      <c r="AC66" s="5">
        <f t="shared" si="20"/>
        <v>0</v>
      </c>
      <c r="AD66" s="5">
        <f t="shared" si="21"/>
        <v>0</v>
      </c>
      <c r="AE66" s="4" t="s">
        <v>470</v>
      </c>
      <c r="AF66" s="5">
        <f>IF(AJ66=0,K66,0)</f>
        <v>0</v>
      </c>
      <c r="AG66" s="5">
        <f>IF(AJ66=12,K66,0)</f>
        <v>0</v>
      </c>
      <c r="AH66" s="5">
        <f>IF(AJ66=21,K66,0)</f>
        <v>0</v>
      </c>
      <c r="AJ66" s="5">
        <v>21</v>
      </c>
      <c r="AK66" s="5">
        <f>G66*0.602173829860491</f>
        <v>0</v>
      </c>
      <c r="AL66" s="5">
        <f>G66*(1-0.602173829860491)</f>
        <v>0</v>
      </c>
      <c r="AM66" s="9" t="s">
        <v>432</v>
      </c>
      <c r="AR66" s="5">
        <f t="shared" si="22"/>
        <v>0</v>
      </c>
      <c r="AS66" s="5">
        <f>F66*AK66</f>
        <v>0</v>
      </c>
      <c r="AT66" s="5">
        <f>F66*AL66</f>
        <v>0</v>
      </c>
      <c r="AU66" s="9" t="s">
        <v>387</v>
      </c>
      <c r="AV66" s="9" t="s">
        <v>241</v>
      </c>
      <c r="AW66" s="4" t="s">
        <v>223</v>
      </c>
      <c r="AY66" s="5">
        <f t="shared" si="23"/>
        <v>0</v>
      </c>
      <c r="AZ66" s="5">
        <f>G66/(100-BA66)*100</f>
        <v>0</v>
      </c>
      <c r="BA66" s="5">
        <v>0</v>
      </c>
      <c r="BB66" s="5" t="e">
        <f>#REF!</f>
        <v>#REF!</v>
      </c>
      <c r="BD66" s="5">
        <f>F66*AK66</f>
        <v>0</v>
      </c>
      <c r="BE66" s="5">
        <f>F66*AL66</f>
        <v>0</v>
      </c>
      <c r="BF66" s="5">
        <f t="shared" si="24"/>
        <v>0</v>
      </c>
      <c r="BG66" s="5"/>
      <c r="BH66" s="5">
        <v>784</v>
      </c>
      <c r="BS66" s="5" t="str">
        <f t="shared" si="25"/>
        <v>21</v>
      </c>
    </row>
    <row r="67" spans="1:71" ht="15" customHeight="1">
      <c r="A67" s="35" t="s">
        <v>184</v>
      </c>
      <c r="B67" s="26" t="s">
        <v>150</v>
      </c>
      <c r="C67" s="194" t="s">
        <v>248</v>
      </c>
      <c r="D67" s="194"/>
      <c r="E67" s="26" t="s">
        <v>423</v>
      </c>
      <c r="F67" s="5">
        <v>629.491</v>
      </c>
      <c r="G67" s="5">
        <v>0</v>
      </c>
      <c r="H67" s="9" t="s">
        <v>302</v>
      </c>
      <c r="I67" s="5">
        <f>F67*AK67</f>
        <v>0</v>
      </c>
      <c r="J67" s="5">
        <f>F67*AL67</f>
        <v>0</v>
      </c>
      <c r="K67" s="5">
        <f t="shared" si="13"/>
        <v>0</v>
      </c>
      <c r="L67" s="56" t="s">
        <v>189</v>
      </c>
      <c r="V67" s="5">
        <f t="shared" si="14"/>
        <v>0</v>
      </c>
      <c r="X67" s="5">
        <f t="shared" si="15"/>
        <v>0</v>
      </c>
      <c r="Y67" s="5">
        <f t="shared" si="16"/>
        <v>0</v>
      </c>
      <c r="Z67" s="5">
        <f t="shared" si="17"/>
        <v>0</v>
      </c>
      <c r="AA67" s="5">
        <f t="shared" si="18"/>
        <v>0</v>
      </c>
      <c r="AB67" s="5">
        <f t="shared" si="19"/>
        <v>0</v>
      </c>
      <c r="AC67" s="5">
        <f t="shared" si="20"/>
        <v>0</v>
      </c>
      <c r="AD67" s="5">
        <f t="shared" si="21"/>
        <v>0</v>
      </c>
      <c r="AE67" s="4" t="s">
        <v>470</v>
      </c>
      <c r="AF67" s="5">
        <f>IF(AJ67=0,K67,0)</f>
        <v>0</v>
      </c>
      <c r="AG67" s="5">
        <f>IF(AJ67=12,K67,0)</f>
        <v>0</v>
      </c>
      <c r="AH67" s="5">
        <f>IF(AJ67=21,K67,0)</f>
        <v>0</v>
      </c>
      <c r="AJ67" s="5">
        <v>21</v>
      </c>
      <c r="AK67" s="5">
        <f>G67*0.193548379765839</f>
        <v>0</v>
      </c>
      <c r="AL67" s="5">
        <f>G67*(1-0.193548379765839)</f>
        <v>0</v>
      </c>
      <c r="AM67" s="9" t="s">
        <v>432</v>
      </c>
      <c r="AR67" s="5">
        <f t="shared" si="22"/>
        <v>0</v>
      </c>
      <c r="AS67" s="5">
        <f>F67*AK67</f>
        <v>0</v>
      </c>
      <c r="AT67" s="5">
        <f>F67*AL67</f>
        <v>0</v>
      </c>
      <c r="AU67" s="9" t="s">
        <v>387</v>
      </c>
      <c r="AV67" s="9" t="s">
        <v>241</v>
      </c>
      <c r="AW67" s="4" t="s">
        <v>223</v>
      </c>
      <c r="AY67" s="5">
        <f t="shared" si="23"/>
        <v>0</v>
      </c>
      <c r="AZ67" s="5">
        <f>G67/(100-BA67)*100</f>
        <v>0</v>
      </c>
      <c r="BA67" s="5">
        <v>0</v>
      </c>
      <c r="BB67" s="5" t="e">
        <f>#REF!</f>
        <v>#REF!</v>
      </c>
      <c r="BD67" s="5">
        <f>F67*AK67</f>
        <v>0</v>
      </c>
      <c r="BE67" s="5">
        <f>F67*AL67</f>
        <v>0</v>
      </c>
      <c r="BF67" s="5">
        <f t="shared" si="24"/>
        <v>0</v>
      </c>
      <c r="BG67" s="5"/>
      <c r="BH67" s="5">
        <v>784</v>
      </c>
      <c r="BS67" s="5" t="str">
        <f t="shared" si="25"/>
        <v>21</v>
      </c>
    </row>
    <row r="68" spans="1:43" ht="15" customHeight="1">
      <c r="A68" s="23" t="s">
        <v>293</v>
      </c>
      <c r="B68" s="61" t="s">
        <v>222</v>
      </c>
      <c r="C68" s="256" t="s">
        <v>482</v>
      </c>
      <c r="D68" s="256"/>
      <c r="E68" s="6" t="s">
        <v>401</v>
      </c>
      <c r="F68" s="6" t="s">
        <v>401</v>
      </c>
      <c r="G68" s="6" t="s">
        <v>401</v>
      </c>
      <c r="H68" s="6" t="s">
        <v>401</v>
      </c>
      <c r="I68" s="69">
        <f>SUM(I69:I69)</f>
        <v>0</v>
      </c>
      <c r="J68" s="69">
        <f>SUM(J69:J69)</f>
        <v>0</v>
      </c>
      <c r="K68" s="69">
        <f>SUM(K69:K69)</f>
        <v>0</v>
      </c>
      <c r="L68" s="55" t="s">
        <v>293</v>
      </c>
      <c r="AE68" s="4" t="s">
        <v>470</v>
      </c>
      <c r="AO68" s="69">
        <f>SUM(AF69:AF69)</f>
        <v>0</v>
      </c>
      <c r="AP68" s="69">
        <f>SUM(AG69:AG69)</f>
        <v>0</v>
      </c>
      <c r="AQ68" s="69">
        <f>SUM(AH69:AH69)</f>
        <v>0</v>
      </c>
    </row>
    <row r="69" spans="1:71" ht="15" customHeight="1">
      <c r="A69" s="35" t="s">
        <v>148</v>
      </c>
      <c r="B69" s="26" t="s">
        <v>405</v>
      </c>
      <c r="C69" s="194" t="s">
        <v>392</v>
      </c>
      <c r="D69" s="194"/>
      <c r="E69" s="26" t="s">
        <v>423</v>
      </c>
      <c r="F69" s="5">
        <v>9.36</v>
      </c>
      <c r="G69" s="5">
        <v>0</v>
      </c>
      <c r="H69" s="9" t="s">
        <v>302</v>
      </c>
      <c r="I69" s="5">
        <f>F69*AK69</f>
        <v>0</v>
      </c>
      <c r="J69" s="5">
        <f>F69*AL69</f>
        <v>0</v>
      </c>
      <c r="K69" s="5">
        <f>F69*G69</f>
        <v>0</v>
      </c>
      <c r="L69" s="56" t="s">
        <v>293</v>
      </c>
      <c r="V69" s="5">
        <f>IF(AM69="5",BF69,0)</f>
        <v>0</v>
      </c>
      <c r="X69" s="5">
        <f>IF(AM69="1",BD69,0)</f>
        <v>0</v>
      </c>
      <c r="Y69" s="5">
        <f>IF(AM69="1",BE69,0)</f>
        <v>0</v>
      </c>
      <c r="Z69" s="5">
        <f>IF(AM69="7",BD69,0)</f>
        <v>0</v>
      </c>
      <c r="AA69" s="5">
        <f>IF(AM69="7",BE69,0)</f>
        <v>0</v>
      </c>
      <c r="AB69" s="5">
        <f>IF(AM69="2",BD69,0)</f>
        <v>0</v>
      </c>
      <c r="AC69" s="5">
        <f>IF(AM69="2",BE69,0)</f>
        <v>0</v>
      </c>
      <c r="AD69" s="5">
        <f>IF(AM69="0",BF69,0)</f>
        <v>0</v>
      </c>
      <c r="AE69" s="4" t="s">
        <v>470</v>
      </c>
      <c r="AF69" s="5">
        <f>IF(AJ69=0,K69,0)</f>
        <v>0</v>
      </c>
      <c r="AG69" s="5">
        <f>IF(AJ69=12,K69,0)</f>
        <v>0</v>
      </c>
      <c r="AH69" s="5">
        <f>IF(AJ69=21,K69,0)</f>
        <v>0</v>
      </c>
      <c r="AJ69" s="5">
        <v>21</v>
      </c>
      <c r="AK69" s="5">
        <f>G69*0.689561505626698</f>
        <v>0</v>
      </c>
      <c r="AL69" s="5">
        <f>G69*(1-0.689561505626698)</f>
        <v>0</v>
      </c>
      <c r="AM69" s="9" t="s">
        <v>432</v>
      </c>
      <c r="AR69" s="5">
        <f>AS69+AT69</f>
        <v>0</v>
      </c>
      <c r="AS69" s="5">
        <f>F69*AK69</f>
        <v>0</v>
      </c>
      <c r="AT69" s="5">
        <f>F69*AL69</f>
        <v>0</v>
      </c>
      <c r="AU69" s="9" t="s">
        <v>281</v>
      </c>
      <c r="AV69" s="9" t="s">
        <v>241</v>
      </c>
      <c r="AW69" s="4" t="s">
        <v>223</v>
      </c>
      <c r="AY69" s="5">
        <f>AS69+AT69</f>
        <v>0</v>
      </c>
      <c r="AZ69" s="5">
        <f>G69/(100-BA69)*100</f>
        <v>0</v>
      </c>
      <c r="BA69" s="5">
        <v>0</v>
      </c>
      <c r="BB69" s="5" t="e">
        <f>#REF!</f>
        <v>#REF!</v>
      </c>
      <c r="BD69" s="5">
        <f>F69*AK69</f>
        <v>0</v>
      </c>
      <c r="BE69" s="5">
        <f>F69*AL69</f>
        <v>0</v>
      </c>
      <c r="BF69" s="5">
        <f>F69*G69</f>
        <v>0</v>
      </c>
      <c r="BG69" s="5"/>
      <c r="BH69" s="5">
        <v>786</v>
      </c>
      <c r="BS69" s="5" t="str">
        <f>H69</f>
        <v>21</v>
      </c>
    </row>
    <row r="70" spans="1:43" ht="15" customHeight="1">
      <c r="A70" s="23" t="s">
        <v>293</v>
      </c>
      <c r="B70" s="61" t="s">
        <v>166</v>
      </c>
      <c r="C70" s="256" t="s">
        <v>319</v>
      </c>
      <c r="D70" s="256"/>
      <c r="E70" s="6" t="s">
        <v>401</v>
      </c>
      <c r="F70" s="6" t="s">
        <v>401</v>
      </c>
      <c r="G70" s="6" t="s">
        <v>401</v>
      </c>
      <c r="H70" s="6" t="s">
        <v>401</v>
      </c>
      <c r="I70" s="69">
        <f>SUM(I71:I72)</f>
        <v>0</v>
      </c>
      <c r="J70" s="69">
        <f>SUM(J71:J72)</f>
        <v>0</v>
      </c>
      <c r="K70" s="69">
        <f>SUM(K71:K72)</f>
        <v>0</v>
      </c>
      <c r="L70" s="55" t="s">
        <v>293</v>
      </c>
      <c r="AE70" s="4" t="s">
        <v>470</v>
      </c>
      <c r="AO70" s="69">
        <f>SUM(AF71:AF72)</f>
        <v>0</v>
      </c>
      <c r="AP70" s="69">
        <f>SUM(AG71:AG72)</f>
        <v>0</v>
      </c>
      <c r="AQ70" s="69">
        <f>SUM(AH71:AH72)</f>
        <v>0</v>
      </c>
    </row>
    <row r="71" spans="1:71" ht="15" customHeight="1">
      <c r="A71" s="35" t="s">
        <v>348</v>
      </c>
      <c r="B71" s="26" t="s">
        <v>477</v>
      </c>
      <c r="C71" s="194" t="s">
        <v>156</v>
      </c>
      <c r="D71" s="194"/>
      <c r="E71" s="26" t="s">
        <v>358</v>
      </c>
      <c r="F71" s="5">
        <v>3.4</v>
      </c>
      <c r="G71" s="5">
        <v>0</v>
      </c>
      <c r="H71" s="9" t="s">
        <v>302</v>
      </c>
      <c r="I71" s="5">
        <f>F71*AK71</f>
        <v>0</v>
      </c>
      <c r="J71" s="5">
        <f>F71*AL71</f>
        <v>0</v>
      </c>
      <c r="K71" s="5">
        <f>F71*G71</f>
        <v>0</v>
      </c>
      <c r="L71" s="56" t="s">
        <v>189</v>
      </c>
      <c r="V71" s="5">
        <f>IF(AM71="5",BF71,0)</f>
        <v>0</v>
      </c>
      <c r="X71" s="5">
        <f>IF(AM71="1",BD71,0)</f>
        <v>0</v>
      </c>
      <c r="Y71" s="5">
        <f>IF(AM71="1",BE71,0)</f>
        <v>0</v>
      </c>
      <c r="Z71" s="5">
        <f>IF(AM71="7",BD71,0)</f>
        <v>0</v>
      </c>
      <c r="AA71" s="5">
        <f>IF(AM71="7",BE71,0)</f>
        <v>0</v>
      </c>
      <c r="AB71" s="5">
        <f>IF(AM71="2",BD71,0)</f>
        <v>0</v>
      </c>
      <c r="AC71" s="5">
        <f>IF(AM71="2",BE71,0)</f>
        <v>0</v>
      </c>
      <c r="AD71" s="5">
        <f>IF(AM71="0",BF71,0)</f>
        <v>0</v>
      </c>
      <c r="AE71" s="4" t="s">
        <v>470</v>
      </c>
      <c r="AF71" s="5">
        <f>IF(AJ71=0,K71,0)</f>
        <v>0</v>
      </c>
      <c r="AG71" s="5">
        <f>IF(AJ71=12,K71,0)</f>
        <v>0</v>
      </c>
      <c r="AH71" s="5">
        <f>IF(AJ71=21,K71,0)</f>
        <v>0</v>
      </c>
      <c r="AJ71" s="5">
        <v>21</v>
      </c>
      <c r="AK71" s="5">
        <f>G71*0.512181000349243</f>
        <v>0</v>
      </c>
      <c r="AL71" s="5">
        <f>G71*(1-0.512181000349243)</f>
        <v>0</v>
      </c>
      <c r="AM71" s="9" t="s">
        <v>429</v>
      </c>
      <c r="AR71" s="5">
        <f>AS71+AT71</f>
        <v>0</v>
      </c>
      <c r="AS71" s="5">
        <f>F71*AK71</f>
        <v>0</v>
      </c>
      <c r="AT71" s="5">
        <f>F71*AL71</f>
        <v>0</v>
      </c>
      <c r="AU71" s="9" t="s">
        <v>250</v>
      </c>
      <c r="AV71" s="9" t="s">
        <v>66</v>
      </c>
      <c r="AW71" s="4" t="s">
        <v>223</v>
      </c>
      <c r="AY71" s="5">
        <f>AS71+AT71</f>
        <v>0</v>
      </c>
      <c r="AZ71" s="5">
        <f>G71/(100-BA71)*100</f>
        <v>0</v>
      </c>
      <c r="BA71" s="5">
        <v>0</v>
      </c>
      <c r="BB71" s="5" t="e">
        <f>#REF!</f>
        <v>#REF!</v>
      </c>
      <c r="BD71" s="5">
        <f>F71*AK71</f>
        <v>0</v>
      </c>
      <c r="BE71" s="5">
        <f>F71*AL71</f>
        <v>0</v>
      </c>
      <c r="BF71" s="5">
        <f>F71*G71</f>
        <v>0</v>
      </c>
      <c r="BG71" s="5"/>
      <c r="BH71" s="5">
        <v>95</v>
      </c>
      <c r="BS71" s="5" t="str">
        <f>H71</f>
        <v>21</v>
      </c>
    </row>
    <row r="72" spans="1:71" ht="15" customHeight="1">
      <c r="A72" s="35" t="s">
        <v>447</v>
      </c>
      <c r="B72" s="26" t="s">
        <v>284</v>
      </c>
      <c r="C72" s="194" t="s">
        <v>459</v>
      </c>
      <c r="D72" s="194"/>
      <c r="E72" s="26" t="s">
        <v>194</v>
      </c>
      <c r="F72" s="5">
        <v>0.41437</v>
      </c>
      <c r="G72" s="5">
        <v>0</v>
      </c>
      <c r="H72" s="9" t="s">
        <v>302</v>
      </c>
      <c r="I72" s="5">
        <f>F72*AK72</f>
        <v>0</v>
      </c>
      <c r="J72" s="5">
        <f>F72*AL72</f>
        <v>0</v>
      </c>
      <c r="K72" s="5">
        <f>F72*G72</f>
        <v>0</v>
      </c>
      <c r="L72" s="56" t="s">
        <v>189</v>
      </c>
      <c r="V72" s="5">
        <f>IF(AM72="5",BF72,0)</f>
        <v>0</v>
      </c>
      <c r="X72" s="5">
        <f>IF(AM72="1",BD72,0)</f>
        <v>0</v>
      </c>
      <c r="Y72" s="5">
        <f>IF(AM72="1",BE72,0)</f>
        <v>0</v>
      </c>
      <c r="Z72" s="5">
        <f>IF(AM72="7",BD72,0)</f>
        <v>0</v>
      </c>
      <c r="AA72" s="5">
        <f>IF(AM72="7",BE72,0)</f>
        <v>0</v>
      </c>
      <c r="AB72" s="5">
        <f>IF(AM72="2",BD72,0)</f>
        <v>0</v>
      </c>
      <c r="AC72" s="5">
        <f>IF(AM72="2",BE72,0)</f>
        <v>0</v>
      </c>
      <c r="AD72" s="5">
        <f>IF(AM72="0",BF72,0)</f>
        <v>0</v>
      </c>
      <c r="AE72" s="4" t="s">
        <v>470</v>
      </c>
      <c r="AF72" s="5">
        <f>IF(AJ72=0,K72,0)</f>
        <v>0</v>
      </c>
      <c r="AG72" s="5">
        <f>IF(AJ72=12,K72,0)</f>
        <v>0</v>
      </c>
      <c r="AH72" s="5">
        <f>IF(AJ72=21,K72,0)</f>
        <v>0</v>
      </c>
      <c r="AJ72" s="5">
        <v>21</v>
      </c>
      <c r="AK72" s="5">
        <f>G72*0</f>
        <v>0</v>
      </c>
      <c r="AL72" s="5">
        <f>G72*(1-0)</f>
        <v>0</v>
      </c>
      <c r="AM72" s="9" t="s">
        <v>218</v>
      </c>
      <c r="AR72" s="5">
        <f>AS72+AT72</f>
        <v>0</v>
      </c>
      <c r="AS72" s="5">
        <f>F72*AK72</f>
        <v>0</v>
      </c>
      <c r="AT72" s="5">
        <f>F72*AL72</f>
        <v>0</v>
      </c>
      <c r="AU72" s="9" t="s">
        <v>250</v>
      </c>
      <c r="AV72" s="9" t="s">
        <v>66</v>
      </c>
      <c r="AW72" s="4" t="s">
        <v>223</v>
      </c>
      <c r="AY72" s="5">
        <f>AS72+AT72</f>
        <v>0</v>
      </c>
      <c r="AZ72" s="5">
        <f>G72/(100-BA72)*100</f>
        <v>0</v>
      </c>
      <c r="BA72" s="5">
        <v>0</v>
      </c>
      <c r="BB72" s="5" t="e">
        <f>#REF!</f>
        <v>#REF!</v>
      </c>
      <c r="BD72" s="5">
        <f>F72*AK72</f>
        <v>0</v>
      </c>
      <c r="BE72" s="5">
        <f>F72*AL72</f>
        <v>0</v>
      </c>
      <c r="BF72" s="5">
        <f>F72*G72</f>
        <v>0</v>
      </c>
      <c r="BG72" s="5"/>
      <c r="BH72" s="5">
        <v>95</v>
      </c>
      <c r="BS72" s="5" t="str">
        <f>H72</f>
        <v>21</v>
      </c>
    </row>
    <row r="73" spans="1:43" ht="15" customHeight="1">
      <c r="A73" s="23" t="s">
        <v>293</v>
      </c>
      <c r="B73" s="61" t="s">
        <v>227</v>
      </c>
      <c r="C73" s="256" t="s">
        <v>320</v>
      </c>
      <c r="D73" s="256"/>
      <c r="E73" s="6" t="s">
        <v>401</v>
      </c>
      <c r="F73" s="6" t="s">
        <v>401</v>
      </c>
      <c r="G73" s="6" t="s">
        <v>401</v>
      </c>
      <c r="H73" s="6" t="s">
        <v>401</v>
      </c>
      <c r="I73" s="69">
        <f>SUM(I74:I95)</f>
        <v>0</v>
      </c>
      <c r="J73" s="69">
        <f>SUM(J74:J95)</f>
        <v>0</v>
      </c>
      <c r="K73" s="69">
        <f>SUM(K74:K95)</f>
        <v>0</v>
      </c>
      <c r="L73" s="55" t="s">
        <v>293</v>
      </c>
      <c r="AE73" s="4" t="s">
        <v>470</v>
      </c>
      <c r="AO73" s="69">
        <f>SUM(AF74:AF95)</f>
        <v>0</v>
      </c>
      <c r="AP73" s="69">
        <f>SUM(AG74:AG95)</f>
        <v>0</v>
      </c>
      <c r="AQ73" s="69">
        <f>SUM(AH74:AH95)</f>
        <v>0</v>
      </c>
    </row>
    <row r="74" spans="1:71" ht="15" customHeight="1">
      <c r="A74" s="35" t="s">
        <v>25</v>
      </c>
      <c r="B74" s="26" t="s">
        <v>109</v>
      </c>
      <c r="C74" s="194" t="s">
        <v>324</v>
      </c>
      <c r="D74" s="194"/>
      <c r="E74" s="26" t="s">
        <v>423</v>
      </c>
      <c r="F74" s="5">
        <v>192.9195</v>
      </c>
      <c r="G74" s="5">
        <v>0</v>
      </c>
      <c r="H74" s="9" t="s">
        <v>302</v>
      </c>
      <c r="I74" s="5">
        <f>F74*AK74</f>
        <v>0</v>
      </c>
      <c r="J74" s="5">
        <f>F74*AL74</f>
        <v>0</v>
      </c>
      <c r="K74" s="5">
        <f aca="true" t="shared" si="26" ref="K74:K95">F74*G74</f>
        <v>0</v>
      </c>
      <c r="L74" s="56" t="s">
        <v>189</v>
      </c>
      <c r="V74" s="5">
        <f aca="true" t="shared" si="27" ref="V74:V95">IF(AM74="5",BF74,0)</f>
        <v>0</v>
      </c>
      <c r="X74" s="5">
        <f aca="true" t="shared" si="28" ref="X74:X95">IF(AM74="1",BD74,0)</f>
        <v>0</v>
      </c>
      <c r="Y74" s="5">
        <f aca="true" t="shared" si="29" ref="Y74:Y95">IF(AM74="1",BE74,0)</f>
        <v>0</v>
      </c>
      <c r="Z74" s="5">
        <f aca="true" t="shared" si="30" ref="Z74:Z95">IF(AM74="7",BD74,0)</f>
        <v>0</v>
      </c>
      <c r="AA74" s="5">
        <f aca="true" t="shared" si="31" ref="AA74:AA95">IF(AM74="7",BE74,0)</f>
        <v>0</v>
      </c>
      <c r="AB74" s="5">
        <f aca="true" t="shared" si="32" ref="AB74:AB95">IF(AM74="2",BD74,0)</f>
        <v>0</v>
      </c>
      <c r="AC74" s="5">
        <f aca="true" t="shared" si="33" ref="AC74:AC95">IF(AM74="2",BE74,0)</f>
        <v>0</v>
      </c>
      <c r="AD74" s="5">
        <f aca="true" t="shared" si="34" ref="AD74:AD95">IF(AM74="0",BF74,0)</f>
        <v>0</v>
      </c>
      <c r="AE74" s="4" t="s">
        <v>470</v>
      </c>
      <c r="AF74" s="5">
        <f>IF(AJ74=0,K74,0)</f>
        <v>0</v>
      </c>
      <c r="AG74" s="5">
        <f>IF(AJ74=12,K74,0)</f>
        <v>0</v>
      </c>
      <c r="AH74" s="5">
        <f>IF(AJ74=21,K74,0)</f>
        <v>0</v>
      </c>
      <c r="AJ74" s="5">
        <v>21</v>
      </c>
      <c r="AK74" s="5">
        <f>G74*0.134930545841476</f>
        <v>0</v>
      </c>
      <c r="AL74" s="5">
        <f>G74*(1-0.134930545841476)</f>
        <v>0</v>
      </c>
      <c r="AM74" s="9" t="s">
        <v>429</v>
      </c>
      <c r="AR74" s="5">
        <f aca="true" t="shared" si="35" ref="AR74:AR95">AS74+AT74</f>
        <v>0</v>
      </c>
      <c r="AS74" s="5">
        <f>F74*AK74</f>
        <v>0</v>
      </c>
      <c r="AT74" s="5">
        <f>F74*AL74</f>
        <v>0</v>
      </c>
      <c r="AU74" s="9" t="s">
        <v>383</v>
      </c>
      <c r="AV74" s="9" t="s">
        <v>66</v>
      </c>
      <c r="AW74" s="4" t="s">
        <v>223</v>
      </c>
      <c r="AY74" s="5">
        <f aca="true" t="shared" si="36" ref="AY74:AY95">AS74+AT74</f>
        <v>0</v>
      </c>
      <c r="AZ74" s="5">
        <f>G74/(100-BA74)*100</f>
        <v>0</v>
      </c>
      <c r="BA74" s="5">
        <v>0</v>
      </c>
      <c r="BB74" s="5" t="e">
        <f>#REF!</f>
        <v>#REF!</v>
      </c>
      <c r="BD74" s="5">
        <f>F74*AK74</f>
        <v>0</v>
      </c>
      <c r="BE74" s="5">
        <f>F74*AL74</f>
        <v>0</v>
      </c>
      <c r="BF74" s="5">
        <f aca="true" t="shared" si="37" ref="BF74:BF95">F74*G74</f>
        <v>0</v>
      </c>
      <c r="BG74" s="5"/>
      <c r="BH74" s="5">
        <v>96</v>
      </c>
      <c r="BS74" s="5" t="str">
        <f aca="true" t="shared" si="38" ref="BS74:BS95">H74</f>
        <v>21</v>
      </c>
    </row>
    <row r="75" spans="1:71" ht="15" customHeight="1">
      <c r="A75" s="35" t="s">
        <v>333</v>
      </c>
      <c r="B75" s="26" t="s">
        <v>294</v>
      </c>
      <c r="C75" s="194" t="s">
        <v>466</v>
      </c>
      <c r="D75" s="194"/>
      <c r="E75" s="26" t="s">
        <v>415</v>
      </c>
      <c r="F75" s="5">
        <v>10.37905</v>
      </c>
      <c r="G75" s="5">
        <v>0</v>
      </c>
      <c r="H75" s="9" t="s">
        <v>302</v>
      </c>
      <c r="I75" s="5">
        <f>F75*AK75</f>
        <v>0</v>
      </c>
      <c r="J75" s="5">
        <f>F75*AL75</f>
        <v>0</v>
      </c>
      <c r="K75" s="5">
        <f t="shared" si="26"/>
        <v>0</v>
      </c>
      <c r="L75" s="56" t="s">
        <v>189</v>
      </c>
      <c r="V75" s="5">
        <f t="shared" si="27"/>
        <v>0</v>
      </c>
      <c r="X75" s="5">
        <f t="shared" si="28"/>
        <v>0</v>
      </c>
      <c r="Y75" s="5">
        <f t="shared" si="29"/>
        <v>0</v>
      </c>
      <c r="Z75" s="5">
        <f t="shared" si="30"/>
        <v>0</v>
      </c>
      <c r="AA75" s="5">
        <f t="shared" si="31"/>
        <v>0</v>
      </c>
      <c r="AB75" s="5">
        <f t="shared" si="32"/>
        <v>0</v>
      </c>
      <c r="AC75" s="5">
        <f t="shared" si="33"/>
        <v>0</v>
      </c>
      <c r="AD75" s="5">
        <f t="shared" si="34"/>
        <v>0</v>
      </c>
      <c r="AE75" s="4" t="s">
        <v>470</v>
      </c>
      <c r="AF75" s="5">
        <f>IF(AJ75=0,K75,0)</f>
        <v>0</v>
      </c>
      <c r="AG75" s="5">
        <f>IF(AJ75=12,K75,0)</f>
        <v>0</v>
      </c>
      <c r="AH75" s="5">
        <f>IF(AJ75=21,K75,0)</f>
        <v>0</v>
      </c>
      <c r="AJ75" s="5">
        <v>21</v>
      </c>
      <c r="AK75" s="5">
        <f>G75*0</f>
        <v>0</v>
      </c>
      <c r="AL75" s="5">
        <f>G75*(1-0)</f>
        <v>0</v>
      </c>
      <c r="AM75" s="9" t="s">
        <v>429</v>
      </c>
      <c r="AR75" s="5">
        <f t="shared" si="35"/>
        <v>0</v>
      </c>
      <c r="AS75" s="5">
        <f>F75*AK75</f>
        <v>0</v>
      </c>
      <c r="AT75" s="5">
        <f>F75*AL75</f>
        <v>0</v>
      </c>
      <c r="AU75" s="9" t="s">
        <v>383</v>
      </c>
      <c r="AV75" s="9" t="s">
        <v>66</v>
      </c>
      <c r="AW75" s="4" t="s">
        <v>223</v>
      </c>
      <c r="AY75" s="5">
        <f t="shared" si="36"/>
        <v>0</v>
      </c>
      <c r="AZ75" s="5">
        <f>G75/(100-BA75)*100</f>
        <v>0</v>
      </c>
      <c r="BA75" s="5">
        <v>0</v>
      </c>
      <c r="BB75" s="5" t="e">
        <f>#REF!</f>
        <v>#REF!</v>
      </c>
      <c r="BD75" s="5">
        <f>F75*AK75</f>
        <v>0</v>
      </c>
      <c r="BE75" s="5">
        <f>F75*AL75</f>
        <v>0</v>
      </c>
      <c r="BF75" s="5">
        <f t="shared" si="37"/>
        <v>0</v>
      </c>
      <c r="BG75" s="5"/>
      <c r="BH75" s="5">
        <v>96</v>
      </c>
      <c r="BS75" s="5" t="str">
        <f t="shared" si="38"/>
        <v>21</v>
      </c>
    </row>
    <row r="76" spans="1:71" ht="15" customHeight="1">
      <c r="A76" s="35" t="s">
        <v>356</v>
      </c>
      <c r="B76" s="26" t="s">
        <v>252</v>
      </c>
      <c r="C76" s="194" t="s">
        <v>85</v>
      </c>
      <c r="D76" s="194"/>
      <c r="E76" s="26" t="s">
        <v>194</v>
      </c>
      <c r="F76" s="5">
        <v>52.23292</v>
      </c>
      <c r="G76" s="5">
        <v>0</v>
      </c>
      <c r="H76" s="9" t="s">
        <v>302</v>
      </c>
      <c r="I76" s="5">
        <f>F76*AK76</f>
        <v>0</v>
      </c>
      <c r="J76" s="5">
        <f>F76*AL76</f>
        <v>0</v>
      </c>
      <c r="K76" s="5">
        <f t="shared" si="26"/>
        <v>0</v>
      </c>
      <c r="L76" s="56" t="s">
        <v>189</v>
      </c>
      <c r="V76" s="5">
        <f t="shared" si="27"/>
        <v>0</v>
      </c>
      <c r="X76" s="5">
        <f t="shared" si="28"/>
        <v>0</v>
      </c>
      <c r="Y76" s="5">
        <f t="shared" si="29"/>
        <v>0</v>
      </c>
      <c r="Z76" s="5">
        <f t="shared" si="30"/>
        <v>0</v>
      </c>
      <c r="AA76" s="5">
        <f t="shared" si="31"/>
        <v>0</v>
      </c>
      <c r="AB76" s="5">
        <f t="shared" si="32"/>
        <v>0</v>
      </c>
      <c r="AC76" s="5">
        <f t="shared" si="33"/>
        <v>0</v>
      </c>
      <c r="AD76" s="5">
        <f t="shared" si="34"/>
        <v>0</v>
      </c>
      <c r="AE76" s="4" t="s">
        <v>470</v>
      </c>
      <c r="AF76" s="5">
        <f>IF(AJ76=0,K76,0)</f>
        <v>0</v>
      </c>
      <c r="AG76" s="5">
        <f>IF(AJ76=12,K76,0)</f>
        <v>0</v>
      </c>
      <c r="AH76" s="5">
        <f>IF(AJ76=21,K76,0)</f>
        <v>0</v>
      </c>
      <c r="AJ76" s="5">
        <v>21</v>
      </c>
      <c r="AK76" s="5">
        <f>G76*0</f>
        <v>0</v>
      </c>
      <c r="AL76" s="5">
        <f>G76*(1-0)</f>
        <v>0</v>
      </c>
      <c r="AM76" s="9" t="s">
        <v>218</v>
      </c>
      <c r="AR76" s="5">
        <f t="shared" si="35"/>
        <v>0</v>
      </c>
      <c r="AS76" s="5">
        <f>F76*AK76</f>
        <v>0</v>
      </c>
      <c r="AT76" s="5">
        <f>F76*AL76</f>
        <v>0</v>
      </c>
      <c r="AU76" s="9" t="s">
        <v>383</v>
      </c>
      <c r="AV76" s="9" t="s">
        <v>66</v>
      </c>
      <c r="AW76" s="4" t="s">
        <v>223</v>
      </c>
      <c r="AY76" s="5">
        <f t="shared" si="36"/>
        <v>0</v>
      </c>
      <c r="AZ76" s="5">
        <f>G76/(100-BA76)*100</f>
        <v>0</v>
      </c>
      <c r="BA76" s="5">
        <v>0</v>
      </c>
      <c r="BB76" s="5" t="e">
        <f>#REF!</f>
        <v>#REF!</v>
      </c>
      <c r="BD76" s="5">
        <f>F76*AK76</f>
        <v>0</v>
      </c>
      <c r="BE76" s="5">
        <f>F76*AL76</f>
        <v>0</v>
      </c>
      <c r="BF76" s="5">
        <f t="shared" si="37"/>
        <v>0</v>
      </c>
      <c r="BG76" s="5"/>
      <c r="BH76" s="5">
        <v>96</v>
      </c>
      <c r="BS76" s="5" t="str">
        <f t="shared" si="38"/>
        <v>21</v>
      </c>
    </row>
    <row r="77" spans="1:71" ht="15" customHeight="1">
      <c r="A77" s="35" t="s">
        <v>178</v>
      </c>
      <c r="B77" s="26" t="s">
        <v>483</v>
      </c>
      <c r="C77" s="194" t="s">
        <v>353</v>
      </c>
      <c r="D77" s="194"/>
      <c r="E77" s="26" t="s">
        <v>423</v>
      </c>
      <c r="F77" s="5">
        <v>24.4679</v>
      </c>
      <c r="G77" s="5">
        <v>0</v>
      </c>
      <c r="H77" s="9" t="s">
        <v>302</v>
      </c>
      <c r="I77" s="5">
        <f>F77*AK77</f>
        <v>0</v>
      </c>
      <c r="J77" s="5">
        <f>F77*AL77</f>
        <v>0</v>
      </c>
      <c r="K77" s="5">
        <f t="shared" si="26"/>
        <v>0</v>
      </c>
      <c r="L77" s="56" t="s">
        <v>189</v>
      </c>
      <c r="V77" s="5">
        <f t="shared" si="27"/>
        <v>0</v>
      </c>
      <c r="X77" s="5">
        <f t="shared" si="28"/>
        <v>0</v>
      </c>
      <c r="Y77" s="5">
        <f t="shared" si="29"/>
        <v>0</v>
      </c>
      <c r="Z77" s="5">
        <f t="shared" si="30"/>
        <v>0</v>
      </c>
      <c r="AA77" s="5">
        <f t="shared" si="31"/>
        <v>0</v>
      </c>
      <c r="AB77" s="5">
        <f t="shared" si="32"/>
        <v>0</v>
      </c>
      <c r="AC77" s="5">
        <f t="shared" si="33"/>
        <v>0</v>
      </c>
      <c r="AD77" s="5">
        <f t="shared" si="34"/>
        <v>0</v>
      </c>
      <c r="AE77" s="4" t="s">
        <v>470</v>
      </c>
      <c r="AF77" s="5">
        <f>IF(AJ77=0,K77,0)</f>
        <v>0</v>
      </c>
      <c r="AG77" s="5">
        <f>IF(AJ77=12,K77,0)</f>
        <v>0</v>
      </c>
      <c r="AH77" s="5">
        <f>IF(AJ77=21,K77,0)</f>
        <v>0</v>
      </c>
      <c r="AJ77" s="5">
        <v>21</v>
      </c>
      <c r="AK77" s="5">
        <f>G77*0.0505235483173813</f>
        <v>0</v>
      </c>
      <c r="AL77" s="5">
        <f>G77*(1-0.0505235483173813)</f>
        <v>0</v>
      </c>
      <c r="AM77" s="9" t="s">
        <v>429</v>
      </c>
      <c r="AR77" s="5">
        <f t="shared" si="35"/>
        <v>0</v>
      </c>
      <c r="AS77" s="5">
        <f>F77*AK77</f>
        <v>0</v>
      </c>
      <c r="AT77" s="5">
        <f>F77*AL77</f>
        <v>0</v>
      </c>
      <c r="AU77" s="9" t="s">
        <v>383</v>
      </c>
      <c r="AV77" s="9" t="s">
        <v>66</v>
      </c>
      <c r="AW77" s="4" t="s">
        <v>223</v>
      </c>
      <c r="AY77" s="5">
        <f t="shared" si="36"/>
        <v>0</v>
      </c>
      <c r="AZ77" s="5">
        <f>G77/(100-BA77)*100</f>
        <v>0</v>
      </c>
      <c r="BA77" s="5">
        <v>0</v>
      </c>
      <c r="BB77" s="5" t="e">
        <f>#REF!</f>
        <v>#REF!</v>
      </c>
      <c r="BD77" s="5">
        <f>F77*AK77</f>
        <v>0</v>
      </c>
      <c r="BE77" s="5">
        <f>F77*AL77</f>
        <v>0</v>
      </c>
      <c r="BF77" s="5">
        <f t="shared" si="37"/>
        <v>0</v>
      </c>
      <c r="BG77" s="5"/>
      <c r="BH77" s="5">
        <v>96</v>
      </c>
      <c r="BS77" s="5" t="str">
        <f t="shared" si="38"/>
        <v>21</v>
      </c>
    </row>
    <row r="78" spans="1:71" ht="15" customHeight="1">
      <c r="A78" s="35" t="s">
        <v>176</v>
      </c>
      <c r="B78" s="26" t="s">
        <v>58</v>
      </c>
      <c r="C78" s="194" t="s">
        <v>395</v>
      </c>
      <c r="D78" s="194"/>
      <c r="E78" s="26" t="s">
        <v>423</v>
      </c>
      <c r="F78" s="5">
        <v>273.133</v>
      </c>
      <c r="G78" s="5">
        <v>0</v>
      </c>
      <c r="H78" s="9" t="s">
        <v>302</v>
      </c>
      <c r="I78" s="5">
        <f>F78*AK78</f>
        <v>0</v>
      </c>
      <c r="J78" s="5">
        <f>F78*AL78</f>
        <v>0</v>
      </c>
      <c r="K78" s="5">
        <f t="shared" si="26"/>
        <v>0</v>
      </c>
      <c r="L78" s="56" t="s">
        <v>189</v>
      </c>
      <c r="V78" s="5">
        <f t="shared" si="27"/>
        <v>0</v>
      </c>
      <c r="X78" s="5">
        <f t="shared" si="28"/>
        <v>0</v>
      </c>
      <c r="Y78" s="5">
        <f t="shared" si="29"/>
        <v>0</v>
      </c>
      <c r="Z78" s="5">
        <f t="shared" si="30"/>
        <v>0</v>
      </c>
      <c r="AA78" s="5">
        <f t="shared" si="31"/>
        <v>0</v>
      </c>
      <c r="AB78" s="5">
        <f t="shared" si="32"/>
        <v>0</v>
      </c>
      <c r="AC78" s="5">
        <f t="shared" si="33"/>
        <v>0</v>
      </c>
      <c r="AD78" s="5">
        <f t="shared" si="34"/>
        <v>0</v>
      </c>
      <c r="AE78" s="4" t="s">
        <v>470</v>
      </c>
      <c r="AF78" s="5">
        <f>IF(AJ78=0,K78,0)</f>
        <v>0</v>
      </c>
      <c r="AG78" s="5">
        <f>IF(AJ78=12,K78,0)</f>
        <v>0</v>
      </c>
      <c r="AH78" s="5">
        <f>IF(AJ78=21,K78,0)</f>
        <v>0</v>
      </c>
      <c r="AJ78" s="5">
        <v>21</v>
      </c>
      <c r="AK78" s="5">
        <f aca="true" t="shared" si="39" ref="AK78:AK84">G78*0</f>
        <v>0</v>
      </c>
      <c r="AL78" s="5">
        <f aca="true" t="shared" si="40" ref="AL78:AL84">G78*(1-0)</f>
        <v>0</v>
      </c>
      <c r="AM78" s="9" t="s">
        <v>429</v>
      </c>
      <c r="AR78" s="5">
        <f t="shared" si="35"/>
        <v>0</v>
      </c>
      <c r="AS78" s="5">
        <f>F78*AK78</f>
        <v>0</v>
      </c>
      <c r="AT78" s="5">
        <f>F78*AL78</f>
        <v>0</v>
      </c>
      <c r="AU78" s="9" t="s">
        <v>383</v>
      </c>
      <c r="AV78" s="9" t="s">
        <v>66</v>
      </c>
      <c r="AW78" s="4" t="s">
        <v>223</v>
      </c>
      <c r="AY78" s="5">
        <f t="shared" si="36"/>
        <v>0</v>
      </c>
      <c r="AZ78" s="5">
        <f>G78/(100-BA78)*100</f>
        <v>0</v>
      </c>
      <c r="BA78" s="5">
        <v>0</v>
      </c>
      <c r="BB78" s="5" t="e">
        <f>#REF!</f>
        <v>#REF!</v>
      </c>
      <c r="BD78" s="5">
        <f>F78*AK78</f>
        <v>0</v>
      </c>
      <c r="BE78" s="5">
        <f>F78*AL78</f>
        <v>0</v>
      </c>
      <c r="BF78" s="5">
        <f t="shared" si="37"/>
        <v>0</v>
      </c>
      <c r="BG78" s="5"/>
      <c r="BH78" s="5">
        <v>96</v>
      </c>
      <c r="BS78" s="5" t="str">
        <f t="shared" si="38"/>
        <v>21</v>
      </c>
    </row>
    <row r="79" spans="1:71" ht="15" customHeight="1">
      <c r="A79" s="35" t="s">
        <v>196</v>
      </c>
      <c r="B79" s="26" t="s">
        <v>83</v>
      </c>
      <c r="C79" s="194" t="s">
        <v>301</v>
      </c>
      <c r="D79" s="194"/>
      <c r="E79" s="26" t="s">
        <v>194</v>
      </c>
      <c r="F79" s="5">
        <v>1.25247</v>
      </c>
      <c r="G79" s="5">
        <v>0</v>
      </c>
      <c r="H79" s="9" t="s">
        <v>302</v>
      </c>
      <c r="I79" s="5">
        <f>F79*AK79</f>
        <v>0</v>
      </c>
      <c r="J79" s="5">
        <f>F79*AL79</f>
        <v>0</v>
      </c>
      <c r="K79" s="5">
        <f t="shared" si="26"/>
        <v>0</v>
      </c>
      <c r="L79" s="56" t="s">
        <v>189</v>
      </c>
      <c r="V79" s="5">
        <f t="shared" si="27"/>
        <v>0</v>
      </c>
      <c r="X79" s="5">
        <f t="shared" si="28"/>
        <v>0</v>
      </c>
      <c r="Y79" s="5">
        <f t="shared" si="29"/>
        <v>0</v>
      </c>
      <c r="Z79" s="5">
        <f t="shared" si="30"/>
        <v>0</v>
      </c>
      <c r="AA79" s="5">
        <f t="shared" si="31"/>
        <v>0</v>
      </c>
      <c r="AB79" s="5">
        <f t="shared" si="32"/>
        <v>0</v>
      </c>
      <c r="AC79" s="5">
        <f t="shared" si="33"/>
        <v>0</v>
      </c>
      <c r="AD79" s="5">
        <f t="shared" si="34"/>
        <v>0</v>
      </c>
      <c r="AE79" s="4" t="s">
        <v>470</v>
      </c>
      <c r="AF79" s="5">
        <f>IF(AJ79=0,K79,0)</f>
        <v>0</v>
      </c>
      <c r="AG79" s="5">
        <f>IF(AJ79=12,K79,0)</f>
        <v>0</v>
      </c>
      <c r="AH79" s="5">
        <f>IF(AJ79=21,K79,0)</f>
        <v>0</v>
      </c>
      <c r="AJ79" s="5">
        <v>21</v>
      </c>
      <c r="AK79" s="5">
        <f t="shared" si="39"/>
        <v>0</v>
      </c>
      <c r="AL79" s="5">
        <f t="shared" si="40"/>
        <v>0</v>
      </c>
      <c r="AM79" s="9" t="s">
        <v>218</v>
      </c>
      <c r="AR79" s="5">
        <f t="shared" si="35"/>
        <v>0</v>
      </c>
      <c r="AS79" s="5">
        <f>F79*AK79</f>
        <v>0</v>
      </c>
      <c r="AT79" s="5">
        <f>F79*AL79</f>
        <v>0</v>
      </c>
      <c r="AU79" s="9" t="s">
        <v>383</v>
      </c>
      <c r="AV79" s="9" t="s">
        <v>66</v>
      </c>
      <c r="AW79" s="4" t="s">
        <v>223</v>
      </c>
      <c r="AY79" s="5">
        <f t="shared" si="36"/>
        <v>0</v>
      </c>
      <c r="AZ79" s="5">
        <f>G79/(100-BA79)*100</f>
        <v>0</v>
      </c>
      <c r="BA79" s="5">
        <v>0</v>
      </c>
      <c r="BB79" s="5" t="e">
        <f>#REF!</f>
        <v>#REF!</v>
      </c>
      <c r="BD79" s="5">
        <f>F79*AK79</f>
        <v>0</v>
      </c>
      <c r="BE79" s="5">
        <f>F79*AL79</f>
        <v>0</v>
      </c>
      <c r="BF79" s="5">
        <f t="shared" si="37"/>
        <v>0</v>
      </c>
      <c r="BG79" s="5"/>
      <c r="BH79" s="5">
        <v>96</v>
      </c>
      <c r="BS79" s="5" t="str">
        <f t="shared" si="38"/>
        <v>21</v>
      </c>
    </row>
    <row r="80" spans="1:71" ht="15" customHeight="1">
      <c r="A80" s="35" t="s">
        <v>399</v>
      </c>
      <c r="B80" s="26" t="s">
        <v>323</v>
      </c>
      <c r="C80" s="194" t="s">
        <v>3</v>
      </c>
      <c r="D80" s="194"/>
      <c r="E80" s="26" t="s">
        <v>102</v>
      </c>
      <c r="F80" s="5">
        <v>4</v>
      </c>
      <c r="G80" s="5">
        <v>0</v>
      </c>
      <c r="H80" s="9" t="s">
        <v>302</v>
      </c>
      <c r="I80" s="5">
        <f>F80*AK80</f>
        <v>0</v>
      </c>
      <c r="J80" s="5">
        <f>F80*AL80</f>
        <v>0</v>
      </c>
      <c r="K80" s="5">
        <f t="shared" si="26"/>
        <v>0</v>
      </c>
      <c r="L80" s="56" t="s">
        <v>189</v>
      </c>
      <c r="V80" s="5">
        <f t="shared" si="27"/>
        <v>0</v>
      </c>
      <c r="X80" s="5">
        <f t="shared" si="28"/>
        <v>0</v>
      </c>
      <c r="Y80" s="5">
        <f t="shared" si="29"/>
        <v>0</v>
      </c>
      <c r="Z80" s="5">
        <f t="shared" si="30"/>
        <v>0</v>
      </c>
      <c r="AA80" s="5">
        <f t="shared" si="31"/>
        <v>0</v>
      </c>
      <c r="AB80" s="5">
        <f t="shared" si="32"/>
        <v>0</v>
      </c>
      <c r="AC80" s="5">
        <f t="shared" si="33"/>
        <v>0</v>
      </c>
      <c r="AD80" s="5">
        <f t="shared" si="34"/>
        <v>0</v>
      </c>
      <c r="AE80" s="4" t="s">
        <v>470</v>
      </c>
      <c r="AF80" s="5">
        <f>IF(AJ80=0,K80,0)</f>
        <v>0</v>
      </c>
      <c r="AG80" s="5">
        <f>IF(AJ80=12,K80,0)</f>
        <v>0</v>
      </c>
      <c r="AH80" s="5">
        <f>IF(AJ80=21,K80,0)</f>
        <v>0</v>
      </c>
      <c r="AJ80" s="5">
        <v>21</v>
      </c>
      <c r="AK80" s="5">
        <f t="shared" si="39"/>
        <v>0</v>
      </c>
      <c r="AL80" s="5">
        <f t="shared" si="40"/>
        <v>0</v>
      </c>
      <c r="AM80" s="9" t="s">
        <v>429</v>
      </c>
      <c r="AR80" s="5">
        <f t="shared" si="35"/>
        <v>0</v>
      </c>
      <c r="AS80" s="5">
        <f>F80*AK80</f>
        <v>0</v>
      </c>
      <c r="AT80" s="5">
        <f>F80*AL80</f>
        <v>0</v>
      </c>
      <c r="AU80" s="9" t="s">
        <v>383</v>
      </c>
      <c r="AV80" s="9" t="s">
        <v>66</v>
      </c>
      <c r="AW80" s="4" t="s">
        <v>223</v>
      </c>
      <c r="AY80" s="5">
        <f t="shared" si="36"/>
        <v>0</v>
      </c>
      <c r="AZ80" s="5">
        <f>G80/(100-BA80)*100</f>
        <v>0</v>
      </c>
      <c r="BA80" s="5">
        <v>0</v>
      </c>
      <c r="BB80" s="5" t="e">
        <f>#REF!</f>
        <v>#REF!</v>
      </c>
      <c r="BD80" s="5">
        <f>F80*AK80</f>
        <v>0</v>
      </c>
      <c r="BE80" s="5">
        <f>F80*AL80</f>
        <v>0</v>
      </c>
      <c r="BF80" s="5">
        <f t="shared" si="37"/>
        <v>0</v>
      </c>
      <c r="BG80" s="5"/>
      <c r="BH80" s="5">
        <v>96</v>
      </c>
      <c r="BS80" s="5" t="str">
        <f t="shared" si="38"/>
        <v>21</v>
      </c>
    </row>
    <row r="81" spans="1:71" ht="15" customHeight="1">
      <c r="A81" s="35" t="s">
        <v>279</v>
      </c>
      <c r="B81" s="26" t="s">
        <v>295</v>
      </c>
      <c r="C81" s="194" t="s">
        <v>186</v>
      </c>
      <c r="D81" s="194"/>
      <c r="E81" s="26" t="s">
        <v>102</v>
      </c>
      <c r="F81" s="5">
        <v>3</v>
      </c>
      <c r="G81" s="5">
        <v>0</v>
      </c>
      <c r="H81" s="9" t="s">
        <v>302</v>
      </c>
      <c r="I81" s="5">
        <f>F81*AK81</f>
        <v>0</v>
      </c>
      <c r="J81" s="5">
        <f>F81*AL81</f>
        <v>0</v>
      </c>
      <c r="K81" s="5">
        <f t="shared" si="26"/>
        <v>0</v>
      </c>
      <c r="L81" s="56" t="s">
        <v>189</v>
      </c>
      <c r="V81" s="5">
        <f t="shared" si="27"/>
        <v>0</v>
      </c>
      <c r="X81" s="5">
        <f t="shared" si="28"/>
        <v>0</v>
      </c>
      <c r="Y81" s="5">
        <f t="shared" si="29"/>
        <v>0</v>
      </c>
      <c r="Z81" s="5">
        <f t="shared" si="30"/>
        <v>0</v>
      </c>
      <c r="AA81" s="5">
        <f t="shared" si="31"/>
        <v>0</v>
      </c>
      <c r="AB81" s="5">
        <f t="shared" si="32"/>
        <v>0</v>
      </c>
      <c r="AC81" s="5">
        <f t="shared" si="33"/>
        <v>0</v>
      </c>
      <c r="AD81" s="5">
        <f t="shared" si="34"/>
        <v>0</v>
      </c>
      <c r="AE81" s="4" t="s">
        <v>470</v>
      </c>
      <c r="AF81" s="5">
        <f>IF(AJ81=0,K81,0)</f>
        <v>0</v>
      </c>
      <c r="AG81" s="5">
        <f>IF(AJ81=12,K81,0)</f>
        <v>0</v>
      </c>
      <c r="AH81" s="5">
        <f>IF(AJ81=21,K81,0)</f>
        <v>0</v>
      </c>
      <c r="AJ81" s="5">
        <v>21</v>
      </c>
      <c r="AK81" s="5">
        <f t="shared" si="39"/>
        <v>0</v>
      </c>
      <c r="AL81" s="5">
        <f t="shared" si="40"/>
        <v>0</v>
      </c>
      <c r="AM81" s="9" t="s">
        <v>429</v>
      </c>
      <c r="AR81" s="5">
        <f t="shared" si="35"/>
        <v>0</v>
      </c>
      <c r="AS81" s="5">
        <f>F81*AK81</f>
        <v>0</v>
      </c>
      <c r="AT81" s="5">
        <f>F81*AL81</f>
        <v>0</v>
      </c>
      <c r="AU81" s="9" t="s">
        <v>383</v>
      </c>
      <c r="AV81" s="9" t="s">
        <v>66</v>
      </c>
      <c r="AW81" s="4" t="s">
        <v>223</v>
      </c>
      <c r="AY81" s="5">
        <f t="shared" si="36"/>
        <v>0</v>
      </c>
      <c r="AZ81" s="5">
        <f>G81/(100-BA81)*100</f>
        <v>0</v>
      </c>
      <c r="BA81" s="5">
        <v>0</v>
      </c>
      <c r="BB81" s="5" t="e">
        <f>#REF!</f>
        <v>#REF!</v>
      </c>
      <c r="BD81" s="5">
        <f>F81*AK81</f>
        <v>0</v>
      </c>
      <c r="BE81" s="5">
        <f>F81*AL81</f>
        <v>0</v>
      </c>
      <c r="BF81" s="5">
        <f t="shared" si="37"/>
        <v>0</v>
      </c>
      <c r="BG81" s="5"/>
      <c r="BH81" s="5">
        <v>96</v>
      </c>
      <c r="BS81" s="5" t="str">
        <f t="shared" si="38"/>
        <v>21</v>
      </c>
    </row>
    <row r="82" spans="1:71" ht="15" customHeight="1">
      <c r="A82" s="35" t="s">
        <v>266</v>
      </c>
      <c r="B82" s="26" t="s">
        <v>127</v>
      </c>
      <c r="C82" s="194" t="s">
        <v>180</v>
      </c>
      <c r="D82" s="194"/>
      <c r="E82" s="26" t="s">
        <v>102</v>
      </c>
      <c r="F82" s="5">
        <v>2</v>
      </c>
      <c r="G82" s="5">
        <v>0</v>
      </c>
      <c r="H82" s="9" t="s">
        <v>302</v>
      </c>
      <c r="I82" s="5">
        <f>F82*AK82</f>
        <v>0</v>
      </c>
      <c r="J82" s="5">
        <f>F82*AL82</f>
        <v>0</v>
      </c>
      <c r="K82" s="5">
        <f t="shared" si="26"/>
        <v>0</v>
      </c>
      <c r="L82" s="56" t="s">
        <v>189</v>
      </c>
      <c r="V82" s="5">
        <f t="shared" si="27"/>
        <v>0</v>
      </c>
      <c r="X82" s="5">
        <f t="shared" si="28"/>
        <v>0</v>
      </c>
      <c r="Y82" s="5">
        <f t="shared" si="29"/>
        <v>0</v>
      </c>
      <c r="Z82" s="5">
        <f t="shared" si="30"/>
        <v>0</v>
      </c>
      <c r="AA82" s="5">
        <f t="shared" si="31"/>
        <v>0</v>
      </c>
      <c r="AB82" s="5">
        <f t="shared" si="32"/>
        <v>0</v>
      </c>
      <c r="AC82" s="5">
        <f t="shared" si="33"/>
        <v>0</v>
      </c>
      <c r="AD82" s="5">
        <f t="shared" si="34"/>
        <v>0</v>
      </c>
      <c r="AE82" s="4" t="s">
        <v>470</v>
      </c>
      <c r="AF82" s="5">
        <f>IF(AJ82=0,K82,0)</f>
        <v>0</v>
      </c>
      <c r="AG82" s="5">
        <f>IF(AJ82=12,K82,0)</f>
        <v>0</v>
      </c>
      <c r="AH82" s="5">
        <f>IF(AJ82=21,K82,0)</f>
        <v>0</v>
      </c>
      <c r="AJ82" s="5">
        <v>21</v>
      </c>
      <c r="AK82" s="5">
        <f t="shared" si="39"/>
        <v>0</v>
      </c>
      <c r="AL82" s="5">
        <f t="shared" si="40"/>
        <v>0</v>
      </c>
      <c r="AM82" s="9" t="s">
        <v>429</v>
      </c>
      <c r="AR82" s="5">
        <f t="shared" si="35"/>
        <v>0</v>
      </c>
      <c r="AS82" s="5">
        <f>F82*AK82</f>
        <v>0</v>
      </c>
      <c r="AT82" s="5">
        <f>F82*AL82</f>
        <v>0</v>
      </c>
      <c r="AU82" s="9" t="s">
        <v>383</v>
      </c>
      <c r="AV82" s="9" t="s">
        <v>66</v>
      </c>
      <c r="AW82" s="4" t="s">
        <v>223</v>
      </c>
      <c r="AY82" s="5">
        <f t="shared" si="36"/>
        <v>0</v>
      </c>
      <c r="AZ82" s="5">
        <f>G82/(100-BA82)*100</f>
        <v>0</v>
      </c>
      <c r="BA82" s="5">
        <v>0</v>
      </c>
      <c r="BB82" s="5" t="e">
        <f>#REF!</f>
        <v>#REF!</v>
      </c>
      <c r="BD82" s="5">
        <f>F82*AK82</f>
        <v>0</v>
      </c>
      <c r="BE82" s="5">
        <f>F82*AL82</f>
        <v>0</v>
      </c>
      <c r="BF82" s="5">
        <f t="shared" si="37"/>
        <v>0</v>
      </c>
      <c r="BG82" s="5"/>
      <c r="BH82" s="5">
        <v>96</v>
      </c>
      <c r="BS82" s="5" t="str">
        <f t="shared" si="38"/>
        <v>21</v>
      </c>
    </row>
    <row r="83" spans="1:71" ht="15" customHeight="1">
      <c r="A83" s="35" t="s">
        <v>408</v>
      </c>
      <c r="B83" s="26" t="s">
        <v>179</v>
      </c>
      <c r="C83" s="194" t="s">
        <v>12</v>
      </c>
      <c r="D83" s="194"/>
      <c r="E83" s="26" t="s">
        <v>423</v>
      </c>
      <c r="F83" s="5">
        <v>273.133</v>
      </c>
      <c r="G83" s="5">
        <v>0</v>
      </c>
      <c r="H83" s="9" t="s">
        <v>302</v>
      </c>
      <c r="I83" s="5">
        <f>F83*AK83</f>
        <v>0</v>
      </c>
      <c r="J83" s="5">
        <f>F83*AL83</f>
        <v>0</v>
      </c>
      <c r="K83" s="5">
        <f t="shared" si="26"/>
        <v>0</v>
      </c>
      <c r="L83" s="56" t="s">
        <v>189</v>
      </c>
      <c r="V83" s="5">
        <f t="shared" si="27"/>
        <v>0</v>
      </c>
      <c r="X83" s="5">
        <f t="shared" si="28"/>
        <v>0</v>
      </c>
      <c r="Y83" s="5">
        <f t="shared" si="29"/>
        <v>0</v>
      </c>
      <c r="Z83" s="5">
        <f t="shared" si="30"/>
        <v>0</v>
      </c>
      <c r="AA83" s="5">
        <f t="shared" si="31"/>
        <v>0</v>
      </c>
      <c r="AB83" s="5">
        <f t="shared" si="32"/>
        <v>0</v>
      </c>
      <c r="AC83" s="5">
        <f t="shared" si="33"/>
        <v>0</v>
      </c>
      <c r="AD83" s="5">
        <f t="shared" si="34"/>
        <v>0</v>
      </c>
      <c r="AE83" s="4" t="s">
        <v>470</v>
      </c>
      <c r="AF83" s="5">
        <f>IF(AJ83=0,K83,0)</f>
        <v>0</v>
      </c>
      <c r="AG83" s="5">
        <f>IF(AJ83=12,K83,0)</f>
        <v>0</v>
      </c>
      <c r="AH83" s="5">
        <f>IF(AJ83=21,K83,0)</f>
        <v>0</v>
      </c>
      <c r="AJ83" s="5">
        <v>21</v>
      </c>
      <c r="AK83" s="5">
        <f t="shared" si="39"/>
        <v>0</v>
      </c>
      <c r="AL83" s="5">
        <f t="shared" si="40"/>
        <v>0</v>
      </c>
      <c r="AM83" s="9" t="s">
        <v>429</v>
      </c>
      <c r="AR83" s="5">
        <f t="shared" si="35"/>
        <v>0</v>
      </c>
      <c r="AS83" s="5">
        <f>F83*AK83</f>
        <v>0</v>
      </c>
      <c r="AT83" s="5">
        <f>F83*AL83</f>
        <v>0</v>
      </c>
      <c r="AU83" s="9" t="s">
        <v>383</v>
      </c>
      <c r="AV83" s="9" t="s">
        <v>66</v>
      </c>
      <c r="AW83" s="4" t="s">
        <v>223</v>
      </c>
      <c r="AY83" s="5">
        <f t="shared" si="36"/>
        <v>0</v>
      </c>
      <c r="AZ83" s="5">
        <f>G83/(100-BA83)*100</f>
        <v>0</v>
      </c>
      <c r="BA83" s="5">
        <v>0</v>
      </c>
      <c r="BB83" s="5" t="e">
        <f>#REF!</f>
        <v>#REF!</v>
      </c>
      <c r="BD83" s="5">
        <f>F83*AK83</f>
        <v>0</v>
      </c>
      <c r="BE83" s="5">
        <f>F83*AL83</f>
        <v>0</v>
      </c>
      <c r="BF83" s="5">
        <f t="shared" si="37"/>
        <v>0</v>
      </c>
      <c r="BG83" s="5"/>
      <c r="BH83" s="5">
        <v>96</v>
      </c>
      <c r="BS83" s="5" t="str">
        <f t="shared" si="38"/>
        <v>21</v>
      </c>
    </row>
    <row r="84" spans="1:71" ht="15" customHeight="1">
      <c r="A84" s="35" t="s">
        <v>239</v>
      </c>
      <c r="B84" s="26" t="s">
        <v>159</v>
      </c>
      <c r="C84" s="194" t="s">
        <v>404</v>
      </c>
      <c r="D84" s="194"/>
      <c r="E84" s="26" t="s">
        <v>194</v>
      </c>
      <c r="F84" s="5">
        <v>5.46626</v>
      </c>
      <c r="G84" s="5">
        <v>0</v>
      </c>
      <c r="H84" s="9" t="s">
        <v>302</v>
      </c>
      <c r="I84" s="5">
        <f>F84*AK84</f>
        <v>0</v>
      </c>
      <c r="J84" s="5">
        <f>F84*AL84</f>
        <v>0</v>
      </c>
      <c r="K84" s="5">
        <f t="shared" si="26"/>
        <v>0</v>
      </c>
      <c r="L84" s="56" t="s">
        <v>189</v>
      </c>
      <c r="V84" s="5">
        <f t="shared" si="27"/>
        <v>0</v>
      </c>
      <c r="X84" s="5">
        <f t="shared" si="28"/>
        <v>0</v>
      </c>
      <c r="Y84" s="5">
        <f t="shared" si="29"/>
        <v>0</v>
      </c>
      <c r="Z84" s="5">
        <f t="shared" si="30"/>
        <v>0</v>
      </c>
      <c r="AA84" s="5">
        <f t="shared" si="31"/>
        <v>0</v>
      </c>
      <c r="AB84" s="5">
        <f t="shared" si="32"/>
        <v>0</v>
      </c>
      <c r="AC84" s="5">
        <f t="shared" si="33"/>
        <v>0</v>
      </c>
      <c r="AD84" s="5">
        <f t="shared" si="34"/>
        <v>0</v>
      </c>
      <c r="AE84" s="4" t="s">
        <v>470</v>
      </c>
      <c r="AF84" s="5">
        <f>IF(AJ84=0,K84,0)</f>
        <v>0</v>
      </c>
      <c r="AG84" s="5">
        <f>IF(AJ84=12,K84,0)</f>
        <v>0</v>
      </c>
      <c r="AH84" s="5">
        <f>IF(AJ84=21,K84,0)</f>
        <v>0</v>
      </c>
      <c r="AJ84" s="5">
        <v>21</v>
      </c>
      <c r="AK84" s="5">
        <f t="shared" si="39"/>
        <v>0</v>
      </c>
      <c r="AL84" s="5">
        <f t="shared" si="40"/>
        <v>0</v>
      </c>
      <c r="AM84" s="9" t="s">
        <v>218</v>
      </c>
      <c r="AR84" s="5">
        <f t="shared" si="35"/>
        <v>0</v>
      </c>
      <c r="AS84" s="5">
        <f>F84*AK84</f>
        <v>0</v>
      </c>
      <c r="AT84" s="5">
        <f>F84*AL84</f>
        <v>0</v>
      </c>
      <c r="AU84" s="9" t="s">
        <v>383</v>
      </c>
      <c r="AV84" s="9" t="s">
        <v>66</v>
      </c>
      <c r="AW84" s="4" t="s">
        <v>223</v>
      </c>
      <c r="AY84" s="5">
        <f t="shared" si="36"/>
        <v>0</v>
      </c>
      <c r="AZ84" s="5">
        <f>G84/(100-BA84)*100</f>
        <v>0</v>
      </c>
      <c r="BA84" s="5">
        <v>0</v>
      </c>
      <c r="BB84" s="5" t="e">
        <f>#REF!</f>
        <v>#REF!</v>
      </c>
      <c r="BD84" s="5">
        <f>F84*AK84</f>
        <v>0</v>
      </c>
      <c r="BE84" s="5">
        <f>F84*AL84</f>
        <v>0</v>
      </c>
      <c r="BF84" s="5">
        <f t="shared" si="37"/>
        <v>0</v>
      </c>
      <c r="BG84" s="5"/>
      <c r="BH84" s="5">
        <v>96</v>
      </c>
      <c r="BS84" s="5" t="str">
        <f t="shared" si="38"/>
        <v>21</v>
      </c>
    </row>
    <row r="85" spans="1:71" ht="15" customHeight="1">
      <c r="A85" s="35" t="s">
        <v>192</v>
      </c>
      <c r="B85" s="26" t="s">
        <v>78</v>
      </c>
      <c r="C85" s="194" t="s">
        <v>228</v>
      </c>
      <c r="D85" s="194"/>
      <c r="E85" s="26" t="s">
        <v>423</v>
      </c>
      <c r="F85" s="5">
        <v>7.092</v>
      </c>
      <c r="G85" s="5">
        <v>0</v>
      </c>
      <c r="H85" s="9" t="s">
        <v>302</v>
      </c>
      <c r="I85" s="5">
        <f>F85*AK85</f>
        <v>0</v>
      </c>
      <c r="J85" s="5">
        <f>F85*AL85</f>
        <v>0</v>
      </c>
      <c r="K85" s="5">
        <f t="shared" si="26"/>
        <v>0</v>
      </c>
      <c r="L85" s="56" t="s">
        <v>189</v>
      </c>
      <c r="V85" s="5">
        <f t="shared" si="27"/>
        <v>0</v>
      </c>
      <c r="X85" s="5">
        <f t="shared" si="28"/>
        <v>0</v>
      </c>
      <c r="Y85" s="5">
        <f t="shared" si="29"/>
        <v>0</v>
      </c>
      <c r="Z85" s="5">
        <f t="shared" si="30"/>
        <v>0</v>
      </c>
      <c r="AA85" s="5">
        <f t="shared" si="31"/>
        <v>0</v>
      </c>
      <c r="AB85" s="5">
        <f t="shared" si="32"/>
        <v>0</v>
      </c>
      <c r="AC85" s="5">
        <f t="shared" si="33"/>
        <v>0</v>
      </c>
      <c r="AD85" s="5">
        <f t="shared" si="34"/>
        <v>0</v>
      </c>
      <c r="AE85" s="4" t="s">
        <v>470</v>
      </c>
      <c r="AF85" s="5">
        <f>IF(AJ85=0,K85,0)</f>
        <v>0</v>
      </c>
      <c r="AG85" s="5">
        <f>IF(AJ85=12,K85,0)</f>
        <v>0</v>
      </c>
      <c r="AH85" s="5">
        <f>IF(AJ85=21,K85,0)</f>
        <v>0</v>
      </c>
      <c r="AJ85" s="5">
        <v>21</v>
      </c>
      <c r="AK85" s="5">
        <f>G85*0.0747703329795374</f>
        <v>0</v>
      </c>
      <c r="AL85" s="5">
        <f>G85*(1-0.0747703329795374)</f>
        <v>0</v>
      </c>
      <c r="AM85" s="9" t="s">
        <v>429</v>
      </c>
      <c r="AR85" s="5">
        <f t="shared" si="35"/>
        <v>0</v>
      </c>
      <c r="AS85" s="5">
        <f>F85*AK85</f>
        <v>0</v>
      </c>
      <c r="AT85" s="5">
        <f>F85*AL85</f>
        <v>0</v>
      </c>
      <c r="AU85" s="9" t="s">
        <v>383</v>
      </c>
      <c r="AV85" s="9" t="s">
        <v>66</v>
      </c>
      <c r="AW85" s="4" t="s">
        <v>223</v>
      </c>
      <c r="AY85" s="5">
        <f t="shared" si="36"/>
        <v>0</v>
      </c>
      <c r="AZ85" s="5">
        <f>G85/(100-BA85)*100</f>
        <v>0</v>
      </c>
      <c r="BA85" s="5">
        <v>0</v>
      </c>
      <c r="BB85" s="5" t="e">
        <f>#REF!</f>
        <v>#REF!</v>
      </c>
      <c r="BD85" s="5">
        <f>F85*AK85</f>
        <v>0</v>
      </c>
      <c r="BE85" s="5">
        <f>F85*AL85</f>
        <v>0</v>
      </c>
      <c r="BF85" s="5">
        <f t="shared" si="37"/>
        <v>0</v>
      </c>
      <c r="BG85" s="5"/>
      <c r="BH85" s="5">
        <v>96</v>
      </c>
      <c r="BS85" s="5" t="str">
        <f t="shared" si="38"/>
        <v>21</v>
      </c>
    </row>
    <row r="86" spans="1:71" ht="15" customHeight="1">
      <c r="A86" s="35" t="s">
        <v>48</v>
      </c>
      <c r="B86" s="26" t="s">
        <v>234</v>
      </c>
      <c r="C86" s="194" t="s">
        <v>371</v>
      </c>
      <c r="D86" s="194"/>
      <c r="E86" s="26" t="s">
        <v>423</v>
      </c>
      <c r="F86" s="5">
        <v>9.2655</v>
      </c>
      <c r="G86" s="5">
        <v>0</v>
      </c>
      <c r="H86" s="9" t="s">
        <v>302</v>
      </c>
      <c r="I86" s="5">
        <f>F86*AK86</f>
        <v>0</v>
      </c>
      <c r="J86" s="5">
        <f>F86*AL86</f>
        <v>0</v>
      </c>
      <c r="K86" s="5">
        <f t="shared" si="26"/>
        <v>0</v>
      </c>
      <c r="L86" s="56" t="s">
        <v>189</v>
      </c>
      <c r="V86" s="5">
        <f t="shared" si="27"/>
        <v>0</v>
      </c>
      <c r="X86" s="5">
        <f t="shared" si="28"/>
        <v>0</v>
      </c>
      <c r="Y86" s="5">
        <f t="shared" si="29"/>
        <v>0</v>
      </c>
      <c r="Z86" s="5">
        <f t="shared" si="30"/>
        <v>0</v>
      </c>
      <c r="AA86" s="5">
        <f t="shared" si="31"/>
        <v>0</v>
      </c>
      <c r="AB86" s="5">
        <f t="shared" si="32"/>
        <v>0</v>
      </c>
      <c r="AC86" s="5">
        <f t="shared" si="33"/>
        <v>0</v>
      </c>
      <c r="AD86" s="5">
        <f t="shared" si="34"/>
        <v>0</v>
      </c>
      <c r="AE86" s="4" t="s">
        <v>470</v>
      </c>
      <c r="AF86" s="5">
        <f>IF(AJ86=0,K86,0)</f>
        <v>0</v>
      </c>
      <c r="AG86" s="5">
        <f>IF(AJ86=12,K86,0)</f>
        <v>0</v>
      </c>
      <c r="AH86" s="5">
        <f>IF(AJ86=21,K86,0)</f>
        <v>0</v>
      </c>
      <c r="AJ86" s="5">
        <v>21</v>
      </c>
      <c r="AK86" s="5">
        <f>G86*0.0827479133034928</f>
        <v>0</v>
      </c>
      <c r="AL86" s="5">
        <f>G86*(1-0.0827479133034928)</f>
        <v>0</v>
      </c>
      <c r="AM86" s="9" t="s">
        <v>429</v>
      </c>
      <c r="AR86" s="5">
        <f t="shared" si="35"/>
        <v>0</v>
      </c>
      <c r="AS86" s="5">
        <f>F86*AK86</f>
        <v>0</v>
      </c>
      <c r="AT86" s="5">
        <f>F86*AL86</f>
        <v>0</v>
      </c>
      <c r="AU86" s="9" t="s">
        <v>383</v>
      </c>
      <c r="AV86" s="9" t="s">
        <v>66</v>
      </c>
      <c r="AW86" s="4" t="s">
        <v>223</v>
      </c>
      <c r="AY86" s="5">
        <f t="shared" si="36"/>
        <v>0</v>
      </c>
      <c r="AZ86" s="5">
        <f>G86/(100-BA86)*100</f>
        <v>0</v>
      </c>
      <c r="BA86" s="5">
        <v>0</v>
      </c>
      <c r="BB86" s="5" t="e">
        <f>#REF!</f>
        <v>#REF!</v>
      </c>
      <c r="BD86" s="5">
        <f>F86*AK86</f>
        <v>0</v>
      </c>
      <c r="BE86" s="5">
        <f>F86*AL86</f>
        <v>0</v>
      </c>
      <c r="BF86" s="5">
        <f t="shared" si="37"/>
        <v>0</v>
      </c>
      <c r="BG86" s="5"/>
      <c r="BH86" s="5">
        <v>96</v>
      </c>
      <c r="BS86" s="5" t="str">
        <f t="shared" si="38"/>
        <v>21</v>
      </c>
    </row>
    <row r="87" spans="1:71" ht="15" customHeight="1">
      <c r="A87" s="35" t="s">
        <v>312</v>
      </c>
      <c r="B87" s="26" t="s">
        <v>54</v>
      </c>
      <c r="C87" s="194" t="s">
        <v>351</v>
      </c>
      <c r="D87" s="194"/>
      <c r="E87" s="26" t="s">
        <v>358</v>
      </c>
      <c r="F87" s="5">
        <v>7</v>
      </c>
      <c r="G87" s="5">
        <v>0</v>
      </c>
      <c r="H87" s="9" t="s">
        <v>302</v>
      </c>
      <c r="I87" s="5">
        <f>F87*AK87</f>
        <v>0</v>
      </c>
      <c r="J87" s="5">
        <f>F87*AL87</f>
        <v>0</v>
      </c>
      <c r="K87" s="5">
        <f t="shared" si="26"/>
        <v>0</v>
      </c>
      <c r="L87" s="56" t="s">
        <v>189</v>
      </c>
      <c r="V87" s="5">
        <f t="shared" si="27"/>
        <v>0</v>
      </c>
      <c r="X87" s="5">
        <f t="shared" si="28"/>
        <v>0</v>
      </c>
      <c r="Y87" s="5">
        <f t="shared" si="29"/>
        <v>0</v>
      </c>
      <c r="Z87" s="5">
        <f t="shared" si="30"/>
        <v>0</v>
      </c>
      <c r="AA87" s="5">
        <f t="shared" si="31"/>
        <v>0</v>
      </c>
      <c r="AB87" s="5">
        <f t="shared" si="32"/>
        <v>0</v>
      </c>
      <c r="AC87" s="5">
        <f t="shared" si="33"/>
        <v>0</v>
      </c>
      <c r="AD87" s="5">
        <f t="shared" si="34"/>
        <v>0</v>
      </c>
      <c r="AE87" s="4" t="s">
        <v>470</v>
      </c>
      <c r="AF87" s="5">
        <f>IF(AJ87=0,K87,0)</f>
        <v>0</v>
      </c>
      <c r="AG87" s="5">
        <f>IF(AJ87=12,K87,0)</f>
        <v>0</v>
      </c>
      <c r="AH87" s="5">
        <f>IF(AJ87=21,K87,0)</f>
        <v>0</v>
      </c>
      <c r="AJ87" s="5">
        <v>21</v>
      </c>
      <c r="AK87" s="5">
        <f>G87*0.275852697377361</f>
        <v>0</v>
      </c>
      <c r="AL87" s="5">
        <f>G87*(1-0.275852697377361)</f>
        <v>0</v>
      </c>
      <c r="AM87" s="9" t="s">
        <v>429</v>
      </c>
      <c r="AR87" s="5">
        <f t="shared" si="35"/>
        <v>0</v>
      </c>
      <c r="AS87" s="5">
        <f>F87*AK87</f>
        <v>0</v>
      </c>
      <c r="AT87" s="5">
        <f>F87*AL87</f>
        <v>0</v>
      </c>
      <c r="AU87" s="9" t="s">
        <v>383</v>
      </c>
      <c r="AV87" s="9" t="s">
        <v>66</v>
      </c>
      <c r="AW87" s="4" t="s">
        <v>223</v>
      </c>
      <c r="AY87" s="5">
        <f t="shared" si="36"/>
        <v>0</v>
      </c>
      <c r="AZ87" s="5">
        <f>G87/(100-BA87)*100</f>
        <v>0</v>
      </c>
      <c r="BA87" s="5">
        <v>0</v>
      </c>
      <c r="BB87" s="5" t="e">
        <f>#REF!</f>
        <v>#REF!</v>
      </c>
      <c r="BD87" s="5">
        <f>F87*AK87</f>
        <v>0</v>
      </c>
      <c r="BE87" s="5">
        <f>F87*AL87</f>
        <v>0</v>
      </c>
      <c r="BF87" s="5">
        <f t="shared" si="37"/>
        <v>0</v>
      </c>
      <c r="BG87" s="5"/>
      <c r="BH87" s="5">
        <v>96</v>
      </c>
      <c r="BS87" s="5" t="str">
        <f t="shared" si="38"/>
        <v>21</v>
      </c>
    </row>
    <row r="88" spans="1:71" ht="15" customHeight="1">
      <c r="A88" s="35" t="s">
        <v>479</v>
      </c>
      <c r="B88" s="26" t="s">
        <v>298</v>
      </c>
      <c r="C88" s="194" t="s">
        <v>193</v>
      </c>
      <c r="D88" s="194"/>
      <c r="E88" s="26" t="s">
        <v>423</v>
      </c>
      <c r="F88" s="5">
        <v>7.488</v>
      </c>
      <c r="G88" s="5">
        <v>0</v>
      </c>
      <c r="H88" s="9" t="s">
        <v>302</v>
      </c>
      <c r="I88" s="5">
        <f>F88*AK88</f>
        <v>0</v>
      </c>
      <c r="J88" s="5">
        <f>F88*AL88</f>
        <v>0</v>
      </c>
      <c r="K88" s="5">
        <f t="shared" si="26"/>
        <v>0</v>
      </c>
      <c r="L88" s="56" t="s">
        <v>189</v>
      </c>
      <c r="V88" s="5">
        <f t="shared" si="27"/>
        <v>0</v>
      </c>
      <c r="X88" s="5">
        <f t="shared" si="28"/>
        <v>0</v>
      </c>
      <c r="Y88" s="5">
        <f t="shared" si="29"/>
        <v>0</v>
      </c>
      <c r="Z88" s="5">
        <f t="shared" si="30"/>
        <v>0</v>
      </c>
      <c r="AA88" s="5">
        <f t="shared" si="31"/>
        <v>0</v>
      </c>
      <c r="AB88" s="5">
        <f t="shared" si="32"/>
        <v>0</v>
      </c>
      <c r="AC88" s="5">
        <f t="shared" si="33"/>
        <v>0</v>
      </c>
      <c r="AD88" s="5">
        <f t="shared" si="34"/>
        <v>0</v>
      </c>
      <c r="AE88" s="4" t="s">
        <v>470</v>
      </c>
      <c r="AF88" s="5">
        <f>IF(AJ88=0,K88,0)</f>
        <v>0</v>
      </c>
      <c r="AG88" s="5">
        <f>IF(AJ88=12,K88,0)</f>
        <v>0</v>
      </c>
      <c r="AH88" s="5">
        <f>IF(AJ88=21,K88,0)</f>
        <v>0</v>
      </c>
      <c r="AJ88" s="5">
        <v>21</v>
      </c>
      <c r="AK88" s="5">
        <f aca="true" t="shared" si="41" ref="AK88:AK95">G88*0</f>
        <v>0</v>
      </c>
      <c r="AL88" s="5">
        <f aca="true" t="shared" si="42" ref="AL88:AL95">G88*(1-0)</f>
        <v>0</v>
      </c>
      <c r="AM88" s="9" t="s">
        <v>429</v>
      </c>
      <c r="AR88" s="5">
        <f t="shared" si="35"/>
        <v>0</v>
      </c>
      <c r="AS88" s="5">
        <f>F88*AK88</f>
        <v>0</v>
      </c>
      <c r="AT88" s="5">
        <f>F88*AL88</f>
        <v>0</v>
      </c>
      <c r="AU88" s="9" t="s">
        <v>383</v>
      </c>
      <c r="AV88" s="9" t="s">
        <v>66</v>
      </c>
      <c r="AW88" s="4" t="s">
        <v>223</v>
      </c>
      <c r="AY88" s="5">
        <f t="shared" si="36"/>
        <v>0</v>
      </c>
      <c r="AZ88" s="5">
        <f>G88/(100-BA88)*100</f>
        <v>0</v>
      </c>
      <c r="BA88" s="5">
        <v>0</v>
      </c>
      <c r="BB88" s="5" t="e">
        <f>#REF!</f>
        <v>#REF!</v>
      </c>
      <c r="BD88" s="5">
        <f>F88*AK88</f>
        <v>0</v>
      </c>
      <c r="BE88" s="5">
        <f>F88*AL88</f>
        <v>0</v>
      </c>
      <c r="BF88" s="5">
        <f t="shared" si="37"/>
        <v>0</v>
      </c>
      <c r="BG88" s="5"/>
      <c r="BH88" s="5">
        <v>96</v>
      </c>
      <c r="BS88" s="5" t="str">
        <f t="shared" si="38"/>
        <v>21</v>
      </c>
    </row>
    <row r="89" spans="1:71" ht="15" customHeight="1">
      <c r="A89" s="35" t="s">
        <v>91</v>
      </c>
      <c r="B89" s="26" t="s">
        <v>435</v>
      </c>
      <c r="C89" s="194" t="s">
        <v>209</v>
      </c>
      <c r="D89" s="194"/>
      <c r="E89" s="26" t="s">
        <v>423</v>
      </c>
      <c r="F89" s="5">
        <v>7.6</v>
      </c>
      <c r="G89" s="5">
        <v>0</v>
      </c>
      <c r="H89" s="9" t="s">
        <v>302</v>
      </c>
      <c r="I89" s="5">
        <f>F89*AK89</f>
        <v>0</v>
      </c>
      <c r="J89" s="5">
        <f>F89*AL89</f>
        <v>0</v>
      </c>
      <c r="K89" s="5">
        <f t="shared" si="26"/>
        <v>0</v>
      </c>
      <c r="L89" s="56" t="s">
        <v>189</v>
      </c>
      <c r="V89" s="5">
        <f t="shared" si="27"/>
        <v>0</v>
      </c>
      <c r="X89" s="5">
        <f t="shared" si="28"/>
        <v>0</v>
      </c>
      <c r="Y89" s="5">
        <f t="shared" si="29"/>
        <v>0</v>
      </c>
      <c r="Z89" s="5">
        <f t="shared" si="30"/>
        <v>0</v>
      </c>
      <c r="AA89" s="5">
        <f t="shared" si="31"/>
        <v>0</v>
      </c>
      <c r="AB89" s="5">
        <f t="shared" si="32"/>
        <v>0</v>
      </c>
      <c r="AC89" s="5">
        <f t="shared" si="33"/>
        <v>0</v>
      </c>
      <c r="AD89" s="5">
        <f t="shared" si="34"/>
        <v>0</v>
      </c>
      <c r="AE89" s="4" t="s">
        <v>470</v>
      </c>
      <c r="AF89" s="5">
        <f>IF(AJ89=0,K89,0)</f>
        <v>0</v>
      </c>
      <c r="AG89" s="5">
        <f>IF(AJ89=12,K89,0)</f>
        <v>0</v>
      </c>
      <c r="AH89" s="5">
        <f>IF(AJ89=21,K89,0)</f>
        <v>0</v>
      </c>
      <c r="AJ89" s="5">
        <v>21</v>
      </c>
      <c r="AK89" s="5">
        <f t="shared" si="41"/>
        <v>0</v>
      </c>
      <c r="AL89" s="5">
        <f t="shared" si="42"/>
        <v>0</v>
      </c>
      <c r="AM89" s="9" t="s">
        <v>429</v>
      </c>
      <c r="AR89" s="5">
        <f t="shared" si="35"/>
        <v>0</v>
      </c>
      <c r="AS89" s="5">
        <f>F89*AK89</f>
        <v>0</v>
      </c>
      <c r="AT89" s="5">
        <f>F89*AL89</f>
        <v>0</v>
      </c>
      <c r="AU89" s="9" t="s">
        <v>383</v>
      </c>
      <c r="AV89" s="9" t="s">
        <v>66</v>
      </c>
      <c r="AW89" s="4" t="s">
        <v>223</v>
      </c>
      <c r="AY89" s="5">
        <f t="shared" si="36"/>
        <v>0</v>
      </c>
      <c r="AZ89" s="5">
        <f>G89/(100-BA89)*100</f>
        <v>0</v>
      </c>
      <c r="BA89" s="5">
        <v>0</v>
      </c>
      <c r="BB89" s="5" t="e">
        <f>#REF!</f>
        <v>#REF!</v>
      </c>
      <c r="BD89" s="5">
        <f>F89*AK89</f>
        <v>0</v>
      </c>
      <c r="BE89" s="5">
        <f>F89*AL89</f>
        <v>0</v>
      </c>
      <c r="BF89" s="5">
        <f t="shared" si="37"/>
        <v>0</v>
      </c>
      <c r="BG89" s="5"/>
      <c r="BH89" s="5">
        <v>96</v>
      </c>
      <c r="BS89" s="5" t="str">
        <f t="shared" si="38"/>
        <v>21</v>
      </c>
    </row>
    <row r="90" spans="1:71" ht="15" customHeight="1">
      <c r="A90" s="35" t="s">
        <v>205</v>
      </c>
      <c r="B90" s="26" t="s">
        <v>142</v>
      </c>
      <c r="C90" s="194" t="s">
        <v>123</v>
      </c>
      <c r="D90" s="194"/>
      <c r="E90" s="26" t="s">
        <v>194</v>
      </c>
      <c r="F90" s="5">
        <v>1.43642</v>
      </c>
      <c r="G90" s="5">
        <v>0</v>
      </c>
      <c r="H90" s="9" t="s">
        <v>302</v>
      </c>
      <c r="I90" s="5">
        <f>F90*AK90</f>
        <v>0</v>
      </c>
      <c r="J90" s="5">
        <f>F90*AL90</f>
        <v>0</v>
      </c>
      <c r="K90" s="5">
        <f t="shared" si="26"/>
        <v>0</v>
      </c>
      <c r="L90" s="56" t="s">
        <v>189</v>
      </c>
      <c r="V90" s="5">
        <f t="shared" si="27"/>
        <v>0</v>
      </c>
      <c r="X90" s="5">
        <f t="shared" si="28"/>
        <v>0</v>
      </c>
      <c r="Y90" s="5">
        <f t="shared" si="29"/>
        <v>0</v>
      </c>
      <c r="Z90" s="5">
        <f t="shared" si="30"/>
        <v>0</v>
      </c>
      <c r="AA90" s="5">
        <f t="shared" si="31"/>
        <v>0</v>
      </c>
      <c r="AB90" s="5">
        <f t="shared" si="32"/>
        <v>0</v>
      </c>
      <c r="AC90" s="5">
        <f t="shared" si="33"/>
        <v>0</v>
      </c>
      <c r="AD90" s="5">
        <f t="shared" si="34"/>
        <v>0</v>
      </c>
      <c r="AE90" s="4" t="s">
        <v>470</v>
      </c>
      <c r="AF90" s="5">
        <f>IF(AJ90=0,K90,0)</f>
        <v>0</v>
      </c>
      <c r="AG90" s="5">
        <f>IF(AJ90=12,K90,0)</f>
        <v>0</v>
      </c>
      <c r="AH90" s="5">
        <f>IF(AJ90=21,K90,0)</f>
        <v>0</v>
      </c>
      <c r="AJ90" s="5">
        <v>21</v>
      </c>
      <c r="AK90" s="5">
        <f t="shared" si="41"/>
        <v>0</v>
      </c>
      <c r="AL90" s="5">
        <f t="shared" si="42"/>
        <v>0</v>
      </c>
      <c r="AM90" s="9" t="s">
        <v>218</v>
      </c>
      <c r="AR90" s="5">
        <f t="shared" si="35"/>
        <v>0</v>
      </c>
      <c r="AS90" s="5">
        <f>F90*AK90</f>
        <v>0</v>
      </c>
      <c r="AT90" s="5">
        <f>F90*AL90</f>
        <v>0</v>
      </c>
      <c r="AU90" s="9" t="s">
        <v>383</v>
      </c>
      <c r="AV90" s="9" t="s">
        <v>66</v>
      </c>
      <c r="AW90" s="4" t="s">
        <v>223</v>
      </c>
      <c r="AY90" s="5">
        <f t="shared" si="36"/>
        <v>0</v>
      </c>
      <c r="AZ90" s="5">
        <f>G90/(100-BA90)*100</f>
        <v>0</v>
      </c>
      <c r="BA90" s="5">
        <v>0</v>
      </c>
      <c r="BB90" s="5" t="e">
        <f>#REF!</f>
        <v>#REF!</v>
      </c>
      <c r="BD90" s="5">
        <f>F90*AK90</f>
        <v>0</v>
      </c>
      <c r="BE90" s="5">
        <f>F90*AL90</f>
        <v>0</v>
      </c>
      <c r="BF90" s="5">
        <f t="shared" si="37"/>
        <v>0</v>
      </c>
      <c r="BG90" s="5"/>
      <c r="BH90" s="5">
        <v>96</v>
      </c>
      <c r="BS90" s="5" t="str">
        <f t="shared" si="38"/>
        <v>21</v>
      </c>
    </row>
    <row r="91" spans="1:71" ht="15" customHeight="1">
      <c r="A91" s="35" t="s">
        <v>475</v>
      </c>
      <c r="B91" s="26" t="s">
        <v>172</v>
      </c>
      <c r="C91" s="194" t="s">
        <v>285</v>
      </c>
      <c r="D91" s="194"/>
      <c r="E91" s="26" t="s">
        <v>194</v>
      </c>
      <c r="F91" s="5">
        <v>60.38807</v>
      </c>
      <c r="G91" s="5">
        <v>0</v>
      </c>
      <c r="H91" s="9" t="s">
        <v>302</v>
      </c>
      <c r="I91" s="5">
        <f>F91*AK91</f>
        <v>0</v>
      </c>
      <c r="J91" s="5">
        <f>F91*AL91</f>
        <v>0</v>
      </c>
      <c r="K91" s="5">
        <f t="shared" si="26"/>
        <v>0</v>
      </c>
      <c r="L91" s="56" t="s">
        <v>189</v>
      </c>
      <c r="V91" s="5">
        <f t="shared" si="27"/>
        <v>0</v>
      </c>
      <c r="X91" s="5">
        <f t="shared" si="28"/>
        <v>0</v>
      </c>
      <c r="Y91" s="5">
        <f t="shared" si="29"/>
        <v>0</v>
      </c>
      <c r="Z91" s="5">
        <f t="shared" si="30"/>
        <v>0</v>
      </c>
      <c r="AA91" s="5">
        <f t="shared" si="31"/>
        <v>0</v>
      </c>
      <c r="AB91" s="5">
        <f t="shared" si="32"/>
        <v>0</v>
      </c>
      <c r="AC91" s="5">
        <f t="shared" si="33"/>
        <v>0</v>
      </c>
      <c r="AD91" s="5">
        <f t="shared" si="34"/>
        <v>0</v>
      </c>
      <c r="AE91" s="4" t="s">
        <v>470</v>
      </c>
      <c r="AF91" s="5">
        <f>IF(AJ91=0,K91,0)</f>
        <v>0</v>
      </c>
      <c r="AG91" s="5">
        <f>IF(AJ91=12,K91,0)</f>
        <v>0</v>
      </c>
      <c r="AH91" s="5">
        <f>IF(AJ91=21,K91,0)</f>
        <v>0</v>
      </c>
      <c r="AJ91" s="5">
        <v>21</v>
      </c>
      <c r="AK91" s="5">
        <f t="shared" si="41"/>
        <v>0</v>
      </c>
      <c r="AL91" s="5">
        <f t="shared" si="42"/>
        <v>0</v>
      </c>
      <c r="AM91" s="9" t="s">
        <v>218</v>
      </c>
      <c r="AR91" s="5">
        <f t="shared" si="35"/>
        <v>0</v>
      </c>
      <c r="AS91" s="5">
        <f>F91*AK91</f>
        <v>0</v>
      </c>
      <c r="AT91" s="5">
        <f>F91*AL91</f>
        <v>0</v>
      </c>
      <c r="AU91" s="9" t="s">
        <v>383</v>
      </c>
      <c r="AV91" s="9" t="s">
        <v>66</v>
      </c>
      <c r="AW91" s="4" t="s">
        <v>223</v>
      </c>
      <c r="AY91" s="5">
        <f t="shared" si="36"/>
        <v>0</v>
      </c>
      <c r="AZ91" s="5">
        <f>G91/(100-BA91)*100</f>
        <v>0</v>
      </c>
      <c r="BA91" s="5">
        <v>0</v>
      </c>
      <c r="BB91" s="5" t="e">
        <f>#REF!</f>
        <v>#REF!</v>
      </c>
      <c r="BD91" s="5">
        <f>F91*AK91</f>
        <v>0</v>
      </c>
      <c r="BE91" s="5">
        <f>F91*AL91</f>
        <v>0</v>
      </c>
      <c r="BF91" s="5">
        <f t="shared" si="37"/>
        <v>0</v>
      </c>
      <c r="BG91" s="5"/>
      <c r="BH91" s="5">
        <v>96</v>
      </c>
      <c r="BS91" s="5" t="str">
        <f t="shared" si="38"/>
        <v>21</v>
      </c>
    </row>
    <row r="92" spans="1:71" ht="15" customHeight="1">
      <c r="A92" s="35" t="s">
        <v>454</v>
      </c>
      <c r="B92" s="26" t="s">
        <v>278</v>
      </c>
      <c r="C92" s="194" t="s">
        <v>185</v>
      </c>
      <c r="D92" s="194"/>
      <c r="E92" s="26" t="s">
        <v>194</v>
      </c>
      <c r="F92" s="5">
        <v>7176.26115</v>
      </c>
      <c r="G92" s="5">
        <v>0</v>
      </c>
      <c r="H92" s="9" t="s">
        <v>302</v>
      </c>
      <c r="I92" s="5">
        <f>F92*AK92</f>
        <v>0</v>
      </c>
      <c r="J92" s="5">
        <f>F92*AL92</f>
        <v>0</v>
      </c>
      <c r="K92" s="5">
        <f t="shared" si="26"/>
        <v>0</v>
      </c>
      <c r="L92" s="56" t="s">
        <v>189</v>
      </c>
      <c r="V92" s="5">
        <f t="shared" si="27"/>
        <v>0</v>
      </c>
      <c r="X92" s="5">
        <f t="shared" si="28"/>
        <v>0</v>
      </c>
      <c r="Y92" s="5">
        <f t="shared" si="29"/>
        <v>0</v>
      </c>
      <c r="Z92" s="5">
        <f t="shared" si="30"/>
        <v>0</v>
      </c>
      <c r="AA92" s="5">
        <f t="shared" si="31"/>
        <v>0</v>
      </c>
      <c r="AB92" s="5">
        <f t="shared" si="32"/>
        <v>0</v>
      </c>
      <c r="AC92" s="5">
        <f t="shared" si="33"/>
        <v>0</v>
      </c>
      <c r="AD92" s="5">
        <f t="shared" si="34"/>
        <v>0</v>
      </c>
      <c r="AE92" s="4" t="s">
        <v>470</v>
      </c>
      <c r="AF92" s="5">
        <f>IF(AJ92=0,K92,0)</f>
        <v>0</v>
      </c>
      <c r="AG92" s="5">
        <f>IF(AJ92=12,K92,0)</f>
        <v>0</v>
      </c>
      <c r="AH92" s="5">
        <f>IF(AJ92=21,K92,0)</f>
        <v>0</v>
      </c>
      <c r="AJ92" s="5">
        <v>21</v>
      </c>
      <c r="AK92" s="5">
        <f t="shared" si="41"/>
        <v>0</v>
      </c>
      <c r="AL92" s="5">
        <f t="shared" si="42"/>
        <v>0</v>
      </c>
      <c r="AM92" s="9" t="s">
        <v>218</v>
      </c>
      <c r="AR92" s="5">
        <f t="shared" si="35"/>
        <v>0</v>
      </c>
      <c r="AS92" s="5">
        <f>F92*AK92</f>
        <v>0</v>
      </c>
      <c r="AT92" s="5">
        <f>F92*AL92</f>
        <v>0</v>
      </c>
      <c r="AU92" s="9" t="s">
        <v>383</v>
      </c>
      <c r="AV92" s="9" t="s">
        <v>66</v>
      </c>
      <c r="AW92" s="4" t="s">
        <v>223</v>
      </c>
      <c r="AY92" s="5">
        <f t="shared" si="36"/>
        <v>0</v>
      </c>
      <c r="AZ92" s="5">
        <f>G92/(100-BA92)*100</f>
        <v>0</v>
      </c>
      <c r="BA92" s="5">
        <v>0</v>
      </c>
      <c r="BB92" s="5" t="e">
        <f>#REF!</f>
        <v>#REF!</v>
      </c>
      <c r="BD92" s="5">
        <f>F92*AK92</f>
        <v>0</v>
      </c>
      <c r="BE92" s="5">
        <f>F92*AL92</f>
        <v>0</v>
      </c>
      <c r="BF92" s="5">
        <f t="shared" si="37"/>
        <v>0</v>
      </c>
      <c r="BG92" s="5"/>
      <c r="BH92" s="5">
        <v>96</v>
      </c>
      <c r="BS92" s="5" t="str">
        <f t="shared" si="38"/>
        <v>21</v>
      </c>
    </row>
    <row r="93" spans="1:71" ht="15" customHeight="1">
      <c r="A93" s="35" t="s">
        <v>5</v>
      </c>
      <c r="B93" s="26" t="s">
        <v>306</v>
      </c>
      <c r="C93" s="194" t="s">
        <v>317</v>
      </c>
      <c r="D93" s="194"/>
      <c r="E93" s="26" t="s">
        <v>194</v>
      </c>
      <c r="F93" s="5">
        <v>60.38807</v>
      </c>
      <c r="G93" s="5">
        <v>0</v>
      </c>
      <c r="H93" s="9" t="s">
        <v>302</v>
      </c>
      <c r="I93" s="5">
        <f>F93*AK93</f>
        <v>0</v>
      </c>
      <c r="J93" s="5">
        <f>F93*AL93</f>
        <v>0</v>
      </c>
      <c r="K93" s="5">
        <f t="shared" si="26"/>
        <v>0</v>
      </c>
      <c r="L93" s="56" t="s">
        <v>189</v>
      </c>
      <c r="V93" s="5">
        <f t="shared" si="27"/>
        <v>0</v>
      </c>
      <c r="X93" s="5">
        <f t="shared" si="28"/>
        <v>0</v>
      </c>
      <c r="Y93" s="5">
        <f t="shared" si="29"/>
        <v>0</v>
      </c>
      <c r="Z93" s="5">
        <f t="shared" si="30"/>
        <v>0</v>
      </c>
      <c r="AA93" s="5">
        <f t="shared" si="31"/>
        <v>0</v>
      </c>
      <c r="AB93" s="5">
        <f t="shared" si="32"/>
        <v>0</v>
      </c>
      <c r="AC93" s="5">
        <f t="shared" si="33"/>
        <v>0</v>
      </c>
      <c r="AD93" s="5">
        <f t="shared" si="34"/>
        <v>0</v>
      </c>
      <c r="AE93" s="4" t="s">
        <v>470</v>
      </c>
      <c r="AF93" s="5">
        <f>IF(AJ93=0,K93,0)</f>
        <v>0</v>
      </c>
      <c r="AG93" s="5">
        <f>IF(AJ93=12,K93,0)</f>
        <v>0</v>
      </c>
      <c r="AH93" s="5">
        <f>IF(AJ93=21,K93,0)</f>
        <v>0</v>
      </c>
      <c r="AJ93" s="5">
        <v>21</v>
      </c>
      <c r="AK93" s="5">
        <f t="shared" si="41"/>
        <v>0</v>
      </c>
      <c r="AL93" s="5">
        <f t="shared" si="42"/>
        <v>0</v>
      </c>
      <c r="AM93" s="9" t="s">
        <v>218</v>
      </c>
      <c r="AR93" s="5">
        <f t="shared" si="35"/>
        <v>0</v>
      </c>
      <c r="AS93" s="5">
        <f>F93*AK93</f>
        <v>0</v>
      </c>
      <c r="AT93" s="5">
        <f>F93*AL93</f>
        <v>0</v>
      </c>
      <c r="AU93" s="9" t="s">
        <v>383</v>
      </c>
      <c r="AV93" s="9" t="s">
        <v>66</v>
      </c>
      <c r="AW93" s="4" t="s">
        <v>223</v>
      </c>
      <c r="AY93" s="5">
        <f t="shared" si="36"/>
        <v>0</v>
      </c>
      <c r="AZ93" s="5">
        <f>G93/(100-BA93)*100</f>
        <v>0</v>
      </c>
      <c r="BA93" s="5">
        <v>0</v>
      </c>
      <c r="BB93" s="5" t="e">
        <f>#REF!</f>
        <v>#REF!</v>
      </c>
      <c r="BD93" s="5">
        <f>F93*AK93</f>
        <v>0</v>
      </c>
      <c r="BE93" s="5">
        <f>F93*AL93</f>
        <v>0</v>
      </c>
      <c r="BF93" s="5">
        <f t="shared" si="37"/>
        <v>0</v>
      </c>
      <c r="BG93" s="5"/>
      <c r="BH93" s="5">
        <v>96</v>
      </c>
      <c r="BS93" s="5" t="str">
        <f t="shared" si="38"/>
        <v>21</v>
      </c>
    </row>
    <row r="94" spans="1:71" ht="15" customHeight="1">
      <c r="A94" s="35" t="s">
        <v>68</v>
      </c>
      <c r="B94" s="26" t="s">
        <v>464</v>
      </c>
      <c r="C94" s="194" t="s">
        <v>79</v>
      </c>
      <c r="D94" s="194"/>
      <c r="E94" s="26" t="s">
        <v>194</v>
      </c>
      <c r="F94" s="5">
        <v>956.83482</v>
      </c>
      <c r="G94" s="5">
        <v>0</v>
      </c>
      <c r="H94" s="9" t="s">
        <v>302</v>
      </c>
      <c r="I94" s="5">
        <f>F94*AK94</f>
        <v>0</v>
      </c>
      <c r="J94" s="5">
        <f>F94*AL94</f>
        <v>0</v>
      </c>
      <c r="K94" s="5">
        <f t="shared" si="26"/>
        <v>0</v>
      </c>
      <c r="L94" s="56" t="s">
        <v>189</v>
      </c>
      <c r="V94" s="5">
        <f t="shared" si="27"/>
        <v>0</v>
      </c>
      <c r="X94" s="5">
        <f t="shared" si="28"/>
        <v>0</v>
      </c>
      <c r="Y94" s="5">
        <f t="shared" si="29"/>
        <v>0</v>
      </c>
      <c r="Z94" s="5">
        <f t="shared" si="30"/>
        <v>0</v>
      </c>
      <c r="AA94" s="5">
        <f t="shared" si="31"/>
        <v>0</v>
      </c>
      <c r="AB94" s="5">
        <f t="shared" si="32"/>
        <v>0</v>
      </c>
      <c r="AC94" s="5">
        <f t="shared" si="33"/>
        <v>0</v>
      </c>
      <c r="AD94" s="5">
        <f t="shared" si="34"/>
        <v>0</v>
      </c>
      <c r="AE94" s="4" t="s">
        <v>470</v>
      </c>
      <c r="AF94" s="5">
        <f>IF(AJ94=0,K94,0)</f>
        <v>0</v>
      </c>
      <c r="AG94" s="5">
        <f>IF(AJ94=12,K94,0)</f>
        <v>0</v>
      </c>
      <c r="AH94" s="5">
        <f>IF(AJ94=21,K94,0)</f>
        <v>0</v>
      </c>
      <c r="AJ94" s="5">
        <v>21</v>
      </c>
      <c r="AK94" s="5">
        <f t="shared" si="41"/>
        <v>0</v>
      </c>
      <c r="AL94" s="5">
        <f t="shared" si="42"/>
        <v>0</v>
      </c>
      <c r="AM94" s="9" t="s">
        <v>218</v>
      </c>
      <c r="AR94" s="5">
        <f t="shared" si="35"/>
        <v>0</v>
      </c>
      <c r="AS94" s="5">
        <f>F94*AK94</f>
        <v>0</v>
      </c>
      <c r="AT94" s="5">
        <f>F94*AL94</f>
        <v>0</v>
      </c>
      <c r="AU94" s="9" t="s">
        <v>383</v>
      </c>
      <c r="AV94" s="9" t="s">
        <v>66</v>
      </c>
      <c r="AW94" s="4" t="s">
        <v>223</v>
      </c>
      <c r="AY94" s="5">
        <f t="shared" si="36"/>
        <v>0</v>
      </c>
      <c r="AZ94" s="5">
        <f>G94/(100-BA94)*100</f>
        <v>0</v>
      </c>
      <c r="BA94" s="5">
        <v>0</v>
      </c>
      <c r="BB94" s="5" t="e">
        <f>#REF!</f>
        <v>#REF!</v>
      </c>
      <c r="BD94" s="5">
        <f>F94*AK94</f>
        <v>0</v>
      </c>
      <c r="BE94" s="5">
        <f>F94*AL94</f>
        <v>0</v>
      </c>
      <c r="BF94" s="5">
        <f t="shared" si="37"/>
        <v>0</v>
      </c>
      <c r="BG94" s="5"/>
      <c r="BH94" s="5">
        <v>96</v>
      </c>
      <c r="BS94" s="5" t="str">
        <f t="shared" si="38"/>
        <v>21</v>
      </c>
    </row>
    <row r="95" spans="1:71" ht="15" customHeight="1">
      <c r="A95" s="35" t="s">
        <v>84</v>
      </c>
      <c r="B95" s="26" t="s">
        <v>462</v>
      </c>
      <c r="C95" s="194" t="s">
        <v>378</v>
      </c>
      <c r="D95" s="194"/>
      <c r="E95" s="26" t="s">
        <v>194</v>
      </c>
      <c r="F95" s="5">
        <v>60.38807</v>
      </c>
      <c r="G95" s="5">
        <v>0</v>
      </c>
      <c r="H95" s="9" t="s">
        <v>302</v>
      </c>
      <c r="I95" s="5">
        <f>F95*AK95</f>
        <v>0</v>
      </c>
      <c r="J95" s="5">
        <f>F95*AL95</f>
        <v>0</v>
      </c>
      <c r="K95" s="5">
        <f t="shared" si="26"/>
        <v>0</v>
      </c>
      <c r="L95" s="56" t="s">
        <v>189</v>
      </c>
      <c r="V95" s="5">
        <f t="shared" si="27"/>
        <v>0</v>
      </c>
      <c r="X95" s="5">
        <f t="shared" si="28"/>
        <v>0</v>
      </c>
      <c r="Y95" s="5">
        <f t="shared" si="29"/>
        <v>0</v>
      </c>
      <c r="Z95" s="5">
        <f t="shared" si="30"/>
        <v>0</v>
      </c>
      <c r="AA95" s="5">
        <f t="shared" si="31"/>
        <v>0</v>
      </c>
      <c r="AB95" s="5">
        <f t="shared" si="32"/>
        <v>0</v>
      </c>
      <c r="AC95" s="5">
        <f t="shared" si="33"/>
        <v>0</v>
      </c>
      <c r="AD95" s="5">
        <f t="shared" si="34"/>
        <v>0</v>
      </c>
      <c r="AE95" s="4" t="s">
        <v>470</v>
      </c>
      <c r="AF95" s="5">
        <f>IF(AJ95=0,K95,0)</f>
        <v>0</v>
      </c>
      <c r="AG95" s="5">
        <f>IF(AJ95=12,K95,0)</f>
        <v>0</v>
      </c>
      <c r="AH95" s="5">
        <f>IF(AJ95=21,K95,0)</f>
        <v>0</v>
      </c>
      <c r="AJ95" s="5">
        <v>21</v>
      </c>
      <c r="AK95" s="5">
        <f t="shared" si="41"/>
        <v>0</v>
      </c>
      <c r="AL95" s="5">
        <f t="shared" si="42"/>
        <v>0</v>
      </c>
      <c r="AM95" s="9" t="s">
        <v>218</v>
      </c>
      <c r="AR95" s="5">
        <f t="shared" si="35"/>
        <v>0</v>
      </c>
      <c r="AS95" s="5">
        <f>F95*AK95</f>
        <v>0</v>
      </c>
      <c r="AT95" s="5">
        <f>F95*AL95</f>
        <v>0</v>
      </c>
      <c r="AU95" s="9" t="s">
        <v>383</v>
      </c>
      <c r="AV95" s="9" t="s">
        <v>66</v>
      </c>
      <c r="AW95" s="4" t="s">
        <v>223</v>
      </c>
      <c r="AY95" s="5">
        <f t="shared" si="36"/>
        <v>0</v>
      </c>
      <c r="AZ95" s="5">
        <f>G95/(100-BA95)*100</f>
        <v>0</v>
      </c>
      <c r="BA95" s="5">
        <v>0</v>
      </c>
      <c r="BB95" s="5" t="e">
        <f>#REF!</f>
        <v>#REF!</v>
      </c>
      <c r="BD95" s="5">
        <f>F95*AK95</f>
        <v>0</v>
      </c>
      <c r="BE95" s="5">
        <f>F95*AL95</f>
        <v>0</v>
      </c>
      <c r="BF95" s="5">
        <f t="shared" si="37"/>
        <v>0</v>
      </c>
      <c r="BG95" s="5"/>
      <c r="BH95" s="5">
        <v>96</v>
      </c>
      <c r="BS95" s="5" t="str">
        <f t="shared" si="38"/>
        <v>21</v>
      </c>
    </row>
    <row r="96" spans="1:12" ht="15" customHeight="1">
      <c r="A96" s="23" t="s">
        <v>293</v>
      </c>
      <c r="B96" s="61" t="s">
        <v>293</v>
      </c>
      <c r="C96" s="256" t="s">
        <v>421</v>
      </c>
      <c r="D96" s="256"/>
      <c r="E96" s="6" t="s">
        <v>401</v>
      </c>
      <c r="F96" s="6" t="s">
        <v>401</v>
      </c>
      <c r="G96" s="6" t="s">
        <v>401</v>
      </c>
      <c r="H96" s="6" t="s">
        <v>401</v>
      </c>
      <c r="I96" s="69">
        <f>I97</f>
        <v>0</v>
      </c>
      <c r="J96" s="69">
        <f>J97</f>
        <v>0</v>
      </c>
      <c r="K96" s="69">
        <f>K97</f>
        <v>0</v>
      </c>
      <c r="L96" s="55" t="s">
        <v>293</v>
      </c>
    </row>
    <row r="97" spans="1:43" ht="15" customHeight="1">
      <c r="A97" s="23" t="s">
        <v>293</v>
      </c>
      <c r="B97" s="61" t="s">
        <v>300</v>
      </c>
      <c r="C97" s="256" t="s">
        <v>143</v>
      </c>
      <c r="D97" s="256"/>
      <c r="E97" s="6" t="s">
        <v>401</v>
      </c>
      <c r="F97" s="6" t="s">
        <v>401</v>
      </c>
      <c r="G97" s="6" t="s">
        <v>401</v>
      </c>
      <c r="H97" s="6" t="s">
        <v>401</v>
      </c>
      <c r="I97" s="69">
        <f>SUM(I98:I98)</f>
        <v>0</v>
      </c>
      <c r="J97" s="69">
        <f>SUM(J98:J98)</f>
        <v>0</v>
      </c>
      <c r="K97" s="69">
        <f>SUM(K98:K98)</f>
        <v>0</v>
      </c>
      <c r="L97" s="55" t="s">
        <v>293</v>
      </c>
      <c r="AE97" s="4" t="s">
        <v>414</v>
      </c>
      <c r="AO97" s="69">
        <f>SUM(AF98:AF98)</f>
        <v>0</v>
      </c>
      <c r="AP97" s="69">
        <f>SUM(AG98:AG98)</f>
        <v>0</v>
      </c>
      <c r="AQ97" s="69">
        <f>SUM(AH98:AH98)</f>
        <v>0</v>
      </c>
    </row>
    <row r="98" spans="1:71" ht="15" customHeight="1">
      <c r="A98" s="17" t="s">
        <v>339</v>
      </c>
      <c r="B98" s="24" t="s">
        <v>202</v>
      </c>
      <c r="C98" s="197" t="s">
        <v>325</v>
      </c>
      <c r="D98" s="197"/>
      <c r="E98" s="24" t="s">
        <v>330</v>
      </c>
      <c r="F98" s="8">
        <v>1</v>
      </c>
      <c r="G98" s="5">
        <v>0</v>
      </c>
      <c r="H98" s="27" t="s">
        <v>302</v>
      </c>
      <c r="I98" s="8">
        <f>materiál!G73</f>
        <v>0</v>
      </c>
      <c r="J98" s="8">
        <f>montáž!G74</f>
        <v>0</v>
      </c>
      <c r="K98" s="8">
        <f>F98*G98</f>
        <v>0</v>
      </c>
      <c r="L98" s="46" t="s">
        <v>293</v>
      </c>
      <c r="V98" s="5">
        <f>IF(AM98="5",BF98,0)</f>
        <v>0</v>
      </c>
      <c r="X98" s="5">
        <f>IF(AM98="1",BD98,0)</f>
        <v>0</v>
      </c>
      <c r="Y98" s="5">
        <f>IF(AM98="1",BE98,0)</f>
        <v>0</v>
      </c>
      <c r="Z98" s="5">
        <f>IF(AM98="7",BD98,0)</f>
        <v>0</v>
      </c>
      <c r="AA98" s="5">
        <f>IF(AM98="7",BE98,0)</f>
        <v>0</v>
      </c>
      <c r="AB98" s="5">
        <f>IF(AM98="2",BD98,0)</f>
        <v>0</v>
      </c>
      <c r="AC98" s="5">
        <f>IF(AM98="2",BE98,0)</f>
        <v>0</v>
      </c>
      <c r="AD98" s="5">
        <f>IF(AM98="0",BF98,0)</f>
        <v>0</v>
      </c>
      <c r="AE98" s="4" t="s">
        <v>414</v>
      </c>
      <c r="AF98" s="5">
        <f>IF(AJ98=0,K98,0)</f>
        <v>0</v>
      </c>
      <c r="AG98" s="5">
        <f>IF(AJ98=12,K98,0)</f>
        <v>0</v>
      </c>
      <c r="AH98" s="5">
        <f>IF(AJ98=21,K98,0)</f>
        <v>0</v>
      </c>
      <c r="AJ98" s="5">
        <v>21</v>
      </c>
      <c r="AK98" s="5">
        <f>G98*0.662801367545682</f>
        <v>0</v>
      </c>
      <c r="AL98" s="5">
        <f>G98*(1-0.662801367545682)</f>
        <v>0</v>
      </c>
      <c r="AM98" s="9" t="s">
        <v>291</v>
      </c>
      <c r="AR98" s="5">
        <f>AS98+AT98</f>
        <v>0</v>
      </c>
      <c r="AS98" s="5">
        <f>F98*AK98</f>
        <v>0</v>
      </c>
      <c r="AT98" s="5">
        <f>F98*AL98</f>
        <v>0</v>
      </c>
      <c r="AU98" s="9" t="s">
        <v>122</v>
      </c>
      <c r="AV98" s="9" t="s">
        <v>354</v>
      </c>
      <c r="AW98" s="4" t="s">
        <v>182</v>
      </c>
      <c r="AY98" s="5">
        <f>AS98+AT98</f>
        <v>0</v>
      </c>
      <c r="AZ98" s="5">
        <f>G98/(100-BA98)*100</f>
        <v>0</v>
      </c>
      <c r="BA98" s="5">
        <v>0</v>
      </c>
      <c r="BB98" s="5" t="e">
        <f>#REF!</f>
        <v>#REF!</v>
      </c>
      <c r="BD98" s="5">
        <f>F98*AK98</f>
        <v>0</v>
      </c>
      <c r="BE98" s="5">
        <f>F98*AL98</f>
        <v>0</v>
      </c>
      <c r="BF98" s="5">
        <f>F98*G98</f>
        <v>0</v>
      </c>
      <c r="BG98" s="5"/>
      <c r="BH98" s="5"/>
      <c r="BS98" s="5" t="str">
        <f>H98</f>
        <v>21</v>
      </c>
    </row>
    <row r="99" spans="9:11" ht="15" customHeight="1">
      <c r="I99" s="202" t="s">
        <v>342</v>
      </c>
      <c r="J99" s="202"/>
      <c r="K99" s="63">
        <f>K13+K16+K19+K23+K28+K31+K35+K41+K45+K51+K59+K68+K70+K73+K97</f>
        <v>0</v>
      </c>
    </row>
    <row r="100" ht="15" customHeight="1">
      <c r="A100" s="2" t="s">
        <v>31</v>
      </c>
    </row>
    <row r="101" spans="1:12" ht="40.5" customHeight="1">
      <c r="A101" s="199" t="s">
        <v>255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</row>
  </sheetData>
  <mergeCells count="117">
    <mergeCell ref="I99:J99"/>
    <mergeCell ref="A101:L101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11:D11"/>
    <mergeCell ref="I10:K10"/>
    <mergeCell ref="C12:D12"/>
    <mergeCell ref="C13:D13"/>
    <mergeCell ref="C14:D14"/>
    <mergeCell ref="I2:L3"/>
    <mergeCell ref="I4:L5"/>
    <mergeCell ref="I6:L7"/>
    <mergeCell ref="I8:L9"/>
    <mergeCell ref="C10:D10"/>
    <mergeCell ref="H4:H5"/>
    <mergeCell ref="H6:H7"/>
    <mergeCell ref="H8:H9"/>
    <mergeCell ref="C2:D3"/>
    <mergeCell ref="C4:D5"/>
    <mergeCell ref="C6:D7"/>
    <mergeCell ref="C8:D9"/>
    <mergeCell ref="G2:G3"/>
    <mergeCell ref="G4:G5"/>
    <mergeCell ref="G6:G7"/>
    <mergeCell ref="G8:G9"/>
    <mergeCell ref="A1:L1"/>
    <mergeCell ref="A2:B3"/>
    <mergeCell ref="A4:B5"/>
    <mergeCell ref="A6:B7"/>
    <mergeCell ref="A8:B9"/>
    <mergeCell ref="E2:F3"/>
    <mergeCell ref="E4:F5"/>
    <mergeCell ref="E6:F7"/>
    <mergeCell ref="E8:F9"/>
    <mergeCell ref="H2:H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showOutlineSymbols="0" zoomScale="70" zoomScaleNormal="70" workbookViewId="0" topLeftCell="A1">
      <selection activeCell="G15" sqref="G15"/>
    </sheetView>
  </sheetViews>
  <sheetFormatPr defaultColWidth="14.16015625" defaultRowHeight="15" customHeight="1"/>
  <cols>
    <col min="1" max="2" width="10.66015625" style="0" customWidth="1"/>
    <col min="3" max="3" width="16.66015625" style="0" customWidth="1"/>
    <col min="4" max="4" width="71" style="0" customWidth="1"/>
    <col min="5" max="5" width="27.83203125" style="0" customWidth="1"/>
    <col min="6" max="6" width="28.16015625" style="0" customWidth="1"/>
    <col min="7" max="7" width="18.33203125" style="0" customWidth="1"/>
    <col min="8" max="8" width="23.33203125" style="0" customWidth="1"/>
  </cols>
  <sheetData>
    <row r="1" spans="1:8" ht="54.75" customHeight="1">
      <c r="A1" s="190" t="s">
        <v>428</v>
      </c>
      <c r="B1" s="190"/>
      <c r="C1" s="190"/>
      <c r="D1" s="190"/>
      <c r="E1" s="190"/>
      <c r="F1" s="190"/>
      <c r="G1" s="190"/>
      <c r="H1" s="190"/>
    </row>
    <row r="2" spans="1:8" ht="15" customHeight="1">
      <c r="A2" s="191" t="s">
        <v>23</v>
      </c>
      <c r="B2" s="192"/>
      <c r="C2" s="200" t="str">
        <f>'Stavební rozpočet'!C2</f>
        <v>Stavební úpravy části objektu ZČU - část 1.</v>
      </c>
      <c r="D2" s="201"/>
      <c r="E2" s="198" t="s">
        <v>365</v>
      </c>
      <c r="F2" s="198" t="str">
        <f>'Stavební rozpočet'!I2</f>
        <v>ZČU v Plzni, Univerzitní 2732/8, Plzeň</v>
      </c>
      <c r="G2" s="192"/>
      <c r="H2" s="203"/>
    </row>
    <row r="3" spans="1:8" ht="15" customHeight="1">
      <c r="A3" s="193"/>
      <c r="B3" s="194"/>
      <c r="C3" s="202"/>
      <c r="D3" s="202"/>
      <c r="E3" s="194"/>
      <c r="F3" s="194"/>
      <c r="G3" s="194"/>
      <c r="H3" s="204"/>
    </row>
    <row r="4" spans="1:8" ht="15" customHeight="1">
      <c r="A4" s="195" t="s">
        <v>225</v>
      </c>
      <c r="B4" s="194"/>
      <c r="C4" s="199" t="str">
        <f>'Stavební rozpočet'!C4</f>
        <v xml:space="preserve"> </v>
      </c>
      <c r="D4" s="194"/>
      <c r="E4" s="199" t="s">
        <v>292</v>
      </c>
      <c r="F4" s="199" t="str">
        <f>'Stavební rozpočet'!I4</f>
        <v>AIP Plzeň spol. s r.o., Brojova 16, Plzeň</v>
      </c>
      <c r="G4" s="194"/>
      <c r="H4" s="204"/>
    </row>
    <row r="5" spans="1:8" ht="15" customHeight="1">
      <c r="A5" s="193"/>
      <c r="B5" s="194"/>
      <c r="C5" s="194"/>
      <c r="D5" s="194"/>
      <c r="E5" s="194"/>
      <c r="F5" s="194"/>
      <c r="G5" s="194"/>
      <c r="H5" s="204"/>
    </row>
    <row r="6" spans="1:8" ht="15" customHeight="1">
      <c r="A6" s="195" t="s">
        <v>32</v>
      </c>
      <c r="B6" s="194"/>
      <c r="C6" s="199" t="str">
        <f>'Stavební rozpočet'!C6</f>
        <v>Sedláčkova 15, Plzeň</v>
      </c>
      <c r="D6" s="194"/>
      <c r="E6" s="199" t="s">
        <v>377</v>
      </c>
      <c r="F6" s="199" t="str">
        <f>'Stavební rozpočet'!I6</f>
        <v> </v>
      </c>
      <c r="G6" s="194"/>
      <c r="H6" s="204"/>
    </row>
    <row r="7" spans="1:8" ht="15" customHeight="1">
      <c r="A7" s="193"/>
      <c r="B7" s="194"/>
      <c r="C7" s="194"/>
      <c r="D7" s="194"/>
      <c r="E7" s="194"/>
      <c r="F7" s="194"/>
      <c r="G7" s="194"/>
      <c r="H7" s="204"/>
    </row>
    <row r="8" spans="1:8" ht="15" customHeight="1">
      <c r="A8" s="195" t="s">
        <v>282</v>
      </c>
      <c r="B8" s="194"/>
      <c r="C8" s="199" t="str">
        <f>'Stavební rozpočet'!I8</f>
        <v>Alen Kadlecová</v>
      </c>
      <c r="D8" s="194"/>
      <c r="E8" s="199" t="s">
        <v>230</v>
      </c>
      <c r="F8" s="199" t="str">
        <f>'Stavební rozpočet'!G8</f>
        <v>01.03.2024</v>
      </c>
      <c r="G8" s="194"/>
      <c r="H8" s="204"/>
    </row>
    <row r="9" spans="1:8" ht="15" customHeight="1">
      <c r="A9" s="193"/>
      <c r="B9" s="194"/>
      <c r="C9" s="194"/>
      <c r="D9" s="194"/>
      <c r="E9" s="194"/>
      <c r="F9" s="194"/>
      <c r="G9" s="194"/>
      <c r="H9" s="204"/>
    </row>
    <row r="10" spans="1:8" ht="15" customHeight="1">
      <c r="A10" s="73" t="s">
        <v>27</v>
      </c>
      <c r="B10" s="33" t="s">
        <v>318</v>
      </c>
      <c r="C10" s="33" t="s">
        <v>138</v>
      </c>
      <c r="D10" s="240" t="s">
        <v>467</v>
      </c>
      <c r="E10" s="257"/>
      <c r="F10" s="33" t="s">
        <v>145</v>
      </c>
      <c r="G10" s="77" t="s">
        <v>244</v>
      </c>
      <c r="H10" s="40" t="s">
        <v>373</v>
      </c>
    </row>
    <row r="11" spans="1:8" ht="15" customHeight="1">
      <c r="A11" s="34" t="s">
        <v>293</v>
      </c>
      <c r="B11" s="54" t="s">
        <v>470</v>
      </c>
      <c r="C11" s="54" t="s">
        <v>293</v>
      </c>
      <c r="D11" s="256" t="s">
        <v>98</v>
      </c>
      <c r="E11" s="256"/>
      <c r="F11" s="54" t="s">
        <v>293</v>
      </c>
      <c r="G11" s="71" t="s">
        <v>293</v>
      </c>
      <c r="H11" s="58" t="s">
        <v>293</v>
      </c>
    </row>
    <row r="12" spans="1:8" ht="15" customHeight="1">
      <c r="A12" s="44" t="s">
        <v>293</v>
      </c>
      <c r="B12" s="61" t="s">
        <v>470</v>
      </c>
      <c r="C12" s="61" t="s">
        <v>478</v>
      </c>
      <c r="D12" s="256" t="s">
        <v>95</v>
      </c>
      <c r="E12" s="256"/>
      <c r="F12" s="61" t="s">
        <v>293</v>
      </c>
      <c r="G12" s="4" t="s">
        <v>293</v>
      </c>
      <c r="H12" s="55" t="s">
        <v>293</v>
      </c>
    </row>
    <row r="13" spans="1:8" ht="15" customHeight="1">
      <c r="A13" s="35" t="s">
        <v>429</v>
      </c>
      <c r="B13" s="26" t="s">
        <v>470</v>
      </c>
      <c r="C13" s="26" t="s">
        <v>104</v>
      </c>
      <c r="D13" s="194" t="s">
        <v>20</v>
      </c>
      <c r="E13" s="194"/>
      <c r="F13" s="26" t="s">
        <v>423</v>
      </c>
      <c r="G13" s="5">
        <v>24.163</v>
      </c>
      <c r="H13" s="29">
        <v>0</v>
      </c>
    </row>
    <row r="14" spans="1:8" ht="15" customHeight="1">
      <c r="A14" s="12"/>
      <c r="D14" s="68" t="s">
        <v>412</v>
      </c>
      <c r="E14" s="258" t="s">
        <v>80</v>
      </c>
      <c r="F14" s="258"/>
      <c r="G14" s="48">
        <v>24.163</v>
      </c>
      <c r="H14" s="50"/>
    </row>
    <row r="15" spans="1:8" ht="15" customHeight="1">
      <c r="A15" s="35" t="s">
        <v>291</v>
      </c>
      <c r="B15" s="26" t="s">
        <v>470</v>
      </c>
      <c r="C15" s="26" t="s">
        <v>183</v>
      </c>
      <c r="D15" s="194" t="s">
        <v>45</v>
      </c>
      <c r="E15" s="194"/>
      <c r="F15" s="26" t="s">
        <v>423</v>
      </c>
      <c r="G15" s="5">
        <v>19.137</v>
      </c>
      <c r="H15" s="29">
        <v>0</v>
      </c>
    </row>
    <row r="16" spans="1:8" ht="15" customHeight="1">
      <c r="A16" s="12"/>
      <c r="D16" s="68" t="s">
        <v>370</v>
      </c>
      <c r="E16" s="258" t="s">
        <v>42</v>
      </c>
      <c r="F16" s="258"/>
      <c r="G16" s="48">
        <v>19.137</v>
      </c>
      <c r="H16" s="50"/>
    </row>
    <row r="17" spans="1:8" ht="15" customHeight="1">
      <c r="A17" s="44" t="s">
        <v>293</v>
      </c>
      <c r="B17" s="61" t="s">
        <v>470</v>
      </c>
      <c r="C17" s="61" t="s">
        <v>312</v>
      </c>
      <c r="D17" s="256" t="s">
        <v>307</v>
      </c>
      <c r="E17" s="256"/>
      <c r="F17" s="61" t="s">
        <v>293</v>
      </c>
      <c r="G17" s="4" t="s">
        <v>293</v>
      </c>
      <c r="H17" s="55" t="s">
        <v>293</v>
      </c>
    </row>
    <row r="18" spans="1:8" ht="15" customHeight="1">
      <c r="A18" s="35" t="s">
        <v>374</v>
      </c>
      <c r="B18" s="26" t="s">
        <v>470</v>
      </c>
      <c r="C18" s="26" t="s">
        <v>263</v>
      </c>
      <c r="D18" s="194" t="s">
        <v>117</v>
      </c>
      <c r="E18" s="194"/>
      <c r="F18" s="26" t="s">
        <v>102</v>
      </c>
      <c r="G18" s="5">
        <v>11.000000000000002</v>
      </c>
      <c r="H18" s="29">
        <v>0</v>
      </c>
    </row>
    <row r="19" spans="1:8" ht="15" customHeight="1">
      <c r="A19" s="12"/>
      <c r="D19" s="68" t="s">
        <v>162</v>
      </c>
      <c r="E19" s="258" t="s">
        <v>17</v>
      </c>
      <c r="F19" s="258"/>
      <c r="G19" s="48">
        <v>9</v>
      </c>
      <c r="H19" s="50"/>
    </row>
    <row r="20" spans="1:8" ht="15" customHeight="1">
      <c r="A20" s="35" t="s">
        <v>293</v>
      </c>
      <c r="B20" s="26" t="s">
        <v>293</v>
      </c>
      <c r="C20" s="26" t="s">
        <v>293</v>
      </c>
      <c r="D20" s="68" t="s">
        <v>429</v>
      </c>
      <c r="E20" s="258" t="s">
        <v>357</v>
      </c>
      <c r="F20" s="258"/>
      <c r="G20" s="48">
        <v>1</v>
      </c>
      <c r="H20" s="56" t="s">
        <v>293</v>
      </c>
    </row>
    <row r="21" spans="1:8" ht="15" customHeight="1">
      <c r="A21" s="35" t="s">
        <v>293</v>
      </c>
      <c r="B21" s="26" t="s">
        <v>293</v>
      </c>
      <c r="C21" s="26" t="s">
        <v>293</v>
      </c>
      <c r="D21" s="68" t="s">
        <v>429</v>
      </c>
      <c r="E21" s="258" t="s">
        <v>80</v>
      </c>
      <c r="F21" s="258"/>
      <c r="G21" s="48">
        <v>1</v>
      </c>
      <c r="H21" s="56" t="s">
        <v>293</v>
      </c>
    </row>
    <row r="22" spans="1:8" ht="15" customHeight="1">
      <c r="A22" s="35" t="s">
        <v>46</v>
      </c>
      <c r="B22" s="26" t="s">
        <v>470</v>
      </c>
      <c r="C22" s="26" t="s">
        <v>99</v>
      </c>
      <c r="D22" s="194" t="s">
        <v>431</v>
      </c>
      <c r="E22" s="194"/>
      <c r="F22" s="26" t="s">
        <v>102</v>
      </c>
      <c r="G22" s="5">
        <v>20</v>
      </c>
      <c r="H22" s="29">
        <v>0</v>
      </c>
    </row>
    <row r="23" spans="1:8" ht="15" customHeight="1">
      <c r="A23" s="12"/>
      <c r="D23" s="68" t="s">
        <v>35</v>
      </c>
      <c r="E23" s="258" t="s">
        <v>17</v>
      </c>
      <c r="F23" s="258"/>
      <c r="G23" s="48">
        <v>16</v>
      </c>
      <c r="H23" s="50"/>
    </row>
    <row r="24" spans="1:8" ht="15" customHeight="1">
      <c r="A24" s="35" t="s">
        <v>293</v>
      </c>
      <c r="B24" s="26" t="s">
        <v>293</v>
      </c>
      <c r="C24" s="26" t="s">
        <v>293</v>
      </c>
      <c r="D24" s="68" t="s">
        <v>291</v>
      </c>
      <c r="E24" s="258" t="s">
        <v>357</v>
      </c>
      <c r="F24" s="258"/>
      <c r="G24" s="48">
        <v>2</v>
      </c>
      <c r="H24" s="56" t="s">
        <v>293</v>
      </c>
    </row>
    <row r="25" spans="1:8" ht="15" customHeight="1">
      <c r="A25" s="35" t="s">
        <v>293</v>
      </c>
      <c r="B25" s="26" t="s">
        <v>293</v>
      </c>
      <c r="C25" s="26" t="s">
        <v>293</v>
      </c>
      <c r="D25" s="68" t="s">
        <v>291</v>
      </c>
      <c r="E25" s="258" t="s">
        <v>80</v>
      </c>
      <c r="F25" s="258"/>
      <c r="G25" s="48">
        <v>2</v>
      </c>
      <c r="H25" s="56" t="s">
        <v>293</v>
      </c>
    </row>
    <row r="26" spans="1:8" ht="15" customHeight="1">
      <c r="A26" s="44" t="s">
        <v>293</v>
      </c>
      <c r="B26" s="61" t="s">
        <v>470</v>
      </c>
      <c r="C26" s="61" t="s">
        <v>91</v>
      </c>
      <c r="D26" s="256" t="s">
        <v>438</v>
      </c>
      <c r="E26" s="256"/>
      <c r="F26" s="61" t="s">
        <v>293</v>
      </c>
      <c r="G26" s="4" t="s">
        <v>293</v>
      </c>
      <c r="H26" s="55" t="s">
        <v>293</v>
      </c>
    </row>
    <row r="27" spans="1:8" ht="15" customHeight="1">
      <c r="A27" s="35" t="s">
        <v>218</v>
      </c>
      <c r="B27" s="26" t="s">
        <v>470</v>
      </c>
      <c r="C27" s="26" t="s">
        <v>81</v>
      </c>
      <c r="D27" s="194" t="s">
        <v>332</v>
      </c>
      <c r="E27" s="194"/>
      <c r="F27" s="26" t="s">
        <v>423</v>
      </c>
      <c r="G27" s="5">
        <v>273.8</v>
      </c>
      <c r="H27" s="29">
        <v>0</v>
      </c>
    </row>
    <row r="28" spans="1:8" ht="15" customHeight="1">
      <c r="A28" s="12"/>
      <c r="D28" s="68" t="s">
        <v>247</v>
      </c>
      <c r="E28" s="258" t="s">
        <v>315</v>
      </c>
      <c r="F28" s="258"/>
      <c r="G28" s="48">
        <v>239.8</v>
      </c>
      <c r="H28" s="50"/>
    </row>
    <row r="29" spans="1:8" ht="15" customHeight="1">
      <c r="A29" s="35" t="s">
        <v>293</v>
      </c>
      <c r="B29" s="26" t="s">
        <v>293</v>
      </c>
      <c r="C29" s="26" t="s">
        <v>293</v>
      </c>
      <c r="D29" s="68" t="s">
        <v>47</v>
      </c>
      <c r="E29" s="258" t="s">
        <v>232</v>
      </c>
      <c r="F29" s="258"/>
      <c r="G29" s="48">
        <v>34</v>
      </c>
      <c r="H29" s="56" t="s">
        <v>293</v>
      </c>
    </row>
    <row r="30" spans="1:8" ht="15" customHeight="1">
      <c r="A30" s="35" t="s">
        <v>65</v>
      </c>
      <c r="B30" s="26" t="s">
        <v>470</v>
      </c>
      <c r="C30" s="26" t="s">
        <v>115</v>
      </c>
      <c r="D30" s="194" t="s">
        <v>313</v>
      </c>
      <c r="E30" s="194"/>
      <c r="F30" s="26" t="s">
        <v>423</v>
      </c>
      <c r="G30" s="5">
        <v>1.368</v>
      </c>
      <c r="H30" s="29">
        <v>0</v>
      </c>
    </row>
    <row r="31" spans="1:8" ht="15" customHeight="1">
      <c r="A31" s="12"/>
      <c r="D31" s="68" t="s">
        <v>366</v>
      </c>
      <c r="E31" s="258" t="s">
        <v>161</v>
      </c>
      <c r="F31" s="258"/>
      <c r="G31" s="48">
        <v>0.456</v>
      </c>
      <c r="H31" s="50"/>
    </row>
    <row r="32" spans="1:8" ht="15" customHeight="1">
      <c r="A32" s="35" t="s">
        <v>293</v>
      </c>
      <c r="B32" s="26" t="s">
        <v>293</v>
      </c>
      <c r="C32" s="26" t="s">
        <v>293</v>
      </c>
      <c r="D32" s="68" t="s">
        <v>366</v>
      </c>
      <c r="E32" s="258" t="s">
        <v>238</v>
      </c>
      <c r="F32" s="258"/>
      <c r="G32" s="48">
        <v>0.456</v>
      </c>
      <c r="H32" s="56" t="s">
        <v>293</v>
      </c>
    </row>
    <row r="33" spans="1:8" ht="15" customHeight="1">
      <c r="A33" s="35" t="s">
        <v>293</v>
      </c>
      <c r="B33" s="26" t="s">
        <v>293</v>
      </c>
      <c r="C33" s="26" t="s">
        <v>293</v>
      </c>
      <c r="D33" s="68" t="s">
        <v>366</v>
      </c>
      <c r="E33" s="258" t="s">
        <v>299</v>
      </c>
      <c r="F33" s="258"/>
      <c r="G33" s="48">
        <v>0.456</v>
      </c>
      <c r="H33" s="56" t="s">
        <v>293</v>
      </c>
    </row>
    <row r="34" spans="1:8" ht="15" customHeight="1">
      <c r="A34" s="35" t="s">
        <v>432</v>
      </c>
      <c r="B34" s="26" t="s">
        <v>470</v>
      </c>
      <c r="C34" s="26" t="s">
        <v>284</v>
      </c>
      <c r="D34" s="194" t="s">
        <v>59</v>
      </c>
      <c r="E34" s="194"/>
      <c r="F34" s="26" t="s">
        <v>194</v>
      </c>
      <c r="G34" s="5">
        <v>33.46853</v>
      </c>
      <c r="H34" s="29">
        <v>0</v>
      </c>
    </row>
    <row r="35" spans="1:8" ht="15" customHeight="1">
      <c r="A35" s="44" t="s">
        <v>293</v>
      </c>
      <c r="B35" s="61" t="s">
        <v>470</v>
      </c>
      <c r="C35" s="61" t="s">
        <v>350</v>
      </c>
      <c r="D35" s="256" t="s">
        <v>369</v>
      </c>
      <c r="E35" s="256"/>
      <c r="F35" s="61" t="s">
        <v>293</v>
      </c>
      <c r="G35" s="4" t="s">
        <v>293</v>
      </c>
      <c r="H35" s="55" t="s">
        <v>293</v>
      </c>
    </row>
    <row r="36" spans="1:8" ht="15" customHeight="1">
      <c r="A36" s="35" t="s">
        <v>341</v>
      </c>
      <c r="B36" s="26" t="s">
        <v>470</v>
      </c>
      <c r="C36" s="26" t="s">
        <v>204</v>
      </c>
      <c r="D36" s="194" t="s">
        <v>355</v>
      </c>
      <c r="E36" s="194"/>
      <c r="F36" s="26" t="s">
        <v>423</v>
      </c>
      <c r="G36" s="5">
        <v>273.8</v>
      </c>
      <c r="H36" s="29">
        <v>0</v>
      </c>
    </row>
    <row r="37" spans="1:8" ht="15" customHeight="1">
      <c r="A37" s="12"/>
      <c r="D37" s="68" t="s">
        <v>247</v>
      </c>
      <c r="E37" s="258" t="s">
        <v>315</v>
      </c>
      <c r="F37" s="258"/>
      <c r="G37" s="48">
        <v>239.8</v>
      </c>
      <c r="H37" s="50"/>
    </row>
    <row r="38" spans="1:8" ht="15" customHeight="1">
      <c r="A38" s="35" t="s">
        <v>293</v>
      </c>
      <c r="B38" s="26" t="s">
        <v>293</v>
      </c>
      <c r="C38" s="26" t="s">
        <v>293</v>
      </c>
      <c r="D38" s="68" t="s">
        <v>47</v>
      </c>
      <c r="E38" s="258" t="s">
        <v>232</v>
      </c>
      <c r="F38" s="258"/>
      <c r="G38" s="48">
        <v>34</v>
      </c>
      <c r="H38" s="56" t="s">
        <v>293</v>
      </c>
    </row>
    <row r="39" spans="1:8" ht="15" customHeight="1">
      <c r="A39" s="35" t="s">
        <v>162</v>
      </c>
      <c r="B39" s="26" t="s">
        <v>470</v>
      </c>
      <c r="C39" s="26" t="s">
        <v>125</v>
      </c>
      <c r="D39" s="194" t="s">
        <v>63</v>
      </c>
      <c r="E39" s="194"/>
      <c r="F39" s="26" t="s">
        <v>423</v>
      </c>
      <c r="G39" s="5">
        <v>276.8118</v>
      </c>
      <c r="H39" s="29">
        <v>0</v>
      </c>
    </row>
    <row r="40" spans="1:8" ht="15" customHeight="1">
      <c r="A40" s="12"/>
      <c r="D40" s="68" t="s">
        <v>247</v>
      </c>
      <c r="E40" s="258" t="s">
        <v>315</v>
      </c>
      <c r="F40" s="258"/>
      <c r="G40" s="48">
        <v>239.8</v>
      </c>
      <c r="H40" s="50"/>
    </row>
    <row r="41" spans="1:8" ht="15" customHeight="1">
      <c r="A41" s="35" t="s">
        <v>293</v>
      </c>
      <c r="B41" s="26" t="s">
        <v>293</v>
      </c>
      <c r="C41" s="26" t="s">
        <v>293</v>
      </c>
      <c r="D41" s="68" t="s">
        <v>47</v>
      </c>
      <c r="E41" s="258" t="s">
        <v>232</v>
      </c>
      <c r="F41" s="258"/>
      <c r="G41" s="48">
        <v>34</v>
      </c>
      <c r="H41" s="56" t="s">
        <v>293</v>
      </c>
    </row>
    <row r="42" spans="1:8" ht="15" customHeight="1">
      <c r="A42" s="35" t="s">
        <v>293</v>
      </c>
      <c r="B42" s="26" t="s">
        <v>293</v>
      </c>
      <c r="C42" s="26" t="s">
        <v>293</v>
      </c>
      <c r="D42" s="68" t="s">
        <v>133</v>
      </c>
      <c r="E42" s="258" t="s">
        <v>293</v>
      </c>
      <c r="F42" s="258"/>
      <c r="G42" s="48">
        <v>3.0118</v>
      </c>
      <c r="H42" s="56" t="s">
        <v>293</v>
      </c>
    </row>
    <row r="43" spans="1:8" ht="15" customHeight="1">
      <c r="A43" s="35" t="s">
        <v>237</v>
      </c>
      <c r="B43" s="26" t="s">
        <v>470</v>
      </c>
      <c r="C43" s="26" t="s">
        <v>310</v>
      </c>
      <c r="D43" s="194" t="s">
        <v>451</v>
      </c>
      <c r="E43" s="194"/>
      <c r="F43" s="26" t="s">
        <v>423</v>
      </c>
      <c r="G43" s="5">
        <v>328.56</v>
      </c>
      <c r="H43" s="29">
        <v>0</v>
      </c>
    </row>
    <row r="44" spans="1:8" ht="15" customHeight="1">
      <c r="A44" s="12"/>
      <c r="D44" s="68" t="s">
        <v>140</v>
      </c>
      <c r="E44" s="258" t="s">
        <v>315</v>
      </c>
      <c r="F44" s="258"/>
      <c r="G44" s="48">
        <v>287.76000000000005</v>
      </c>
      <c r="H44" s="50"/>
    </row>
    <row r="45" spans="1:8" ht="15" customHeight="1">
      <c r="A45" s="35" t="s">
        <v>293</v>
      </c>
      <c r="B45" s="26" t="s">
        <v>293</v>
      </c>
      <c r="C45" s="26" t="s">
        <v>293</v>
      </c>
      <c r="D45" s="68" t="s">
        <v>141</v>
      </c>
      <c r="E45" s="258" t="s">
        <v>232</v>
      </c>
      <c r="F45" s="258"/>
      <c r="G45" s="48">
        <v>40.800000000000004</v>
      </c>
      <c r="H45" s="56" t="s">
        <v>293</v>
      </c>
    </row>
    <row r="46" spans="1:8" ht="15" customHeight="1">
      <c r="A46" s="35" t="s">
        <v>360</v>
      </c>
      <c r="B46" s="26" t="s">
        <v>470</v>
      </c>
      <c r="C46" s="26" t="s">
        <v>380</v>
      </c>
      <c r="D46" s="194" t="s">
        <v>233</v>
      </c>
      <c r="E46" s="194"/>
      <c r="F46" s="26" t="s">
        <v>381</v>
      </c>
      <c r="G46" s="5">
        <v>681.1651</v>
      </c>
      <c r="H46" s="29">
        <v>0</v>
      </c>
    </row>
    <row r="47" spans="1:8" ht="15" customHeight="1">
      <c r="A47" s="12"/>
      <c r="D47" s="68" t="s">
        <v>106</v>
      </c>
      <c r="E47" s="258" t="s">
        <v>293</v>
      </c>
      <c r="F47" s="258"/>
      <c r="G47" s="48">
        <v>681.1651</v>
      </c>
      <c r="H47" s="50"/>
    </row>
    <row r="48" spans="1:8" ht="15" customHeight="1">
      <c r="A48" s="44" t="s">
        <v>293</v>
      </c>
      <c r="B48" s="61" t="s">
        <v>470</v>
      </c>
      <c r="C48" s="61" t="s">
        <v>442</v>
      </c>
      <c r="D48" s="256" t="s">
        <v>363</v>
      </c>
      <c r="E48" s="256"/>
      <c r="F48" s="61" t="s">
        <v>293</v>
      </c>
      <c r="G48" s="4" t="s">
        <v>293</v>
      </c>
      <c r="H48" s="55" t="s">
        <v>293</v>
      </c>
    </row>
    <row r="49" spans="1:8" ht="15" customHeight="1">
      <c r="A49" s="35" t="s">
        <v>314</v>
      </c>
      <c r="B49" s="26" t="s">
        <v>470</v>
      </c>
      <c r="C49" s="26" t="s">
        <v>221</v>
      </c>
      <c r="D49" s="194" t="s">
        <v>163</v>
      </c>
      <c r="E49" s="194"/>
      <c r="F49" s="26" t="s">
        <v>102</v>
      </c>
      <c r="G49" s="5">
        <v>14.000000000000002</v>
      </c>
      <c r="H49" s="29">
        <v>0</v>
      </c>
    </row>
    <row r="50" spans="1:8" ht="15" customHeight="1">
      <c r="A50" s="12"/>
      <c r="D50" s="68" t="s">
        <v>46</v>
      </c>
      <c r="E50" s="258" t="s">
        <v>17</v>
      </c>
      <c r="F50" s="258"/>
      <c r="G50" s="48">
        <v>4</v>
      </c>
      <c r="H50" s="50"/>
    </row>
    <row r="51" spans="1:8" ht="15" customHeight="1">
      <c r="A51" s="35" t="s">
        <v>293</v>
      </c>
      <c r="B51" s="26" t="s">
        <v>293</v>
      </c>
      <c r="C51" s="26" t="s">
        <v>293</v>
      </c>
      <c r="D51" s="68" t="s">
        <v>46</v>
      </c>
      <c r="E51" s="258" t="s">
        <v>357</v>
      </c>
      <c r="F51" s="258"/>
      <c r="G51" s="48">
        <v>4</v>
      </c>
      <c r="H51" s="56" t="s">
        <v>293</v>
      </c>
    </row>
    <row r="52" spans="1:8" ht="15" customHeight="1">
      <c r="A52" s="35" t="s">
        <v>293</v>
      </c>
      <c r="B52" s="26" t="s">
        <v>293</v>
      </c>
      <c r="C52" s="26" t="s">
        <v>293</v>
      </c>
      <c r="D52" s="68" t="s">
        <v>65</v>
      </c>
      <c r="E52" s="258" t="s">
        <v>80</v>
      </c>
      <c r="F52" s="258"/>
      <c r="G52" s="48">
        <v>6.000000000000001</v>
      </c>
      <c r="H52" s="56" t="s">
        <v>293</v>
      </c>
    </row>
    <row r="53" spans="1:8" ht="15" customHeight="1">
      <c r="A53" s="35" t="s">
        <v>126</v>
      </c>
      <c r="B53" s="26" t="s">
        <v>470</v>
      </c>
      <c r="C53" s="26" t="s">
        <v>18</v>
      </c>
      <c r="D53" s="194" t="s">
        <v>113</v>
      </c>
      <c r="E53" s="194"/>
      <c r="F53" s="26" t="s">
        <v>381</v>
      </c>
      <c r="G53" s="5">
        <v>40.3186</v>
      </c>
      <c r="H53" s="29">
        <v>0</v>
      </c>
    </row>
    <row r="54" spans="1:8" ht="15" customHeight="1">
      <c r="A54" s="12"/>
      <c r="D54" s="68" t="s">
        <v>384</v>
      </c>
      <c r="E54" s="258" t="s">
        <v>293</v>
      </c>
      <c r="F54" s="258"/>
      <c r="G54" s="48">
        <v>40.3186</v>
      </c>
      <c r="H54" s="50"/>
    </row>
    <row r="55" spans="1:8" ht="15" customHeight="1">
      <c r="A55" s="44" t="s">
        <v>293</v>
      </c>
      <c r="B55" s="61" t="s">
        <v>470</v>
      </c>
      <c r="C55" s="61" t="s">
        <v>448</v>
      </c>
      <c r="D55" s="256" t="s">
        <v>321</v>
      </c>
      <c r="E55" s="256"/>
      <c r="F55" s="61" t="s">
        <v>293</v>
      </c>
      <c r="G55" s="4" t="s">
        <v>293</v>
      </c>
      <c r="H55" s="55" t="s">
        <v>293</v>
      </c>
    </row>
    <row r="56" spans="1:8" ht="15" customHeight="1">
      <c r="A56" s="35" t="s">
        <v>242</v>
      </c>
      <c r="B56" s="26" t="s">
        <v>470</v>
      </c>
      <c r="C56" s="26" t="s">
        <v>155</v>
      </c>
      <c r="D56" s="194" t="s">
        <v>8</v>
      </c>
      <c r="E56" s="194"/>
      <c r="F56" s="26" t="s">
        <v>423</v>
      </c>
      <c r="G56" s="5">
        <v>18.880000000000003</v>
      </c>
      <c r="H56" s="29">
        <v>0</v>
      </c>
    </row>
    <row r="57" spans="1:8" ht="15" customHeight="1">
      <c r="A57" s="12"/>
      <c r="D57" s="68" t="s">
        <v>219</v>
      </c>
      <c r="E57" s="258" t="s">
        <v>17</v>
      </c>
      <c r="F57" s="258"/>
      <c r="G57" s="48">
        <v>16.16</v>
      </c>
      <c r="H57" s="50"/>
    </row>
    <row r="58" spans="1:8" ht="15" customHeight="1">
      <c r="A58" s="35" t="s">
        <v>293</v>
      </c>
      <c r="B58" s="26" t="s">
        <v>293</v>
      </c>
      <c r="C58" s="26" t="s">
        <v>293</v>
      </c>
      <c r="D58" s="68" t="s">
        <v>29</v>
      </c>
      <c r="E58" s="258" t="s">
        <v>80</v>
      </c>
      <c r="F58" s="258"/>
      <c r="G58" s="48">
        <v>2.72</v>
      </c>
      <c r="H58" s="56" t="s">
        <v>293</v>
      </c>
    </row>
    <row r="59" spans="1:8" ht="15" customHeight="1">
      <c r="A59" s="35" t="s">
        <v>164</v>
      </c>
      <c r="B59" s="26" t="s">
        <v>470</v>
      </c>
      <c r="C59" s="26" t="s">
        <v>385</v>
      </c>
      <c r="D59" s="194" t="s">
        <v>372</v>
      </c>
      <c r="E59" s="194"/>
      <c r="F59" s="26" t="s">
        <v>381</v>
      </c>
      <c r="G59" s="5">
        <v>27.359</v>
      </c>
      <c r="H59" s="29">
        <v>0</v>
      </c>
    </row>
    <row r="60" spans="1:8" ht="15" customHeight="1">
      <c r="A60" s="12"/>
      <c r="D60" s="68" t="s">
        <v>215</v>
      </c>
      <c r="E60" s="258" t="s">
        <v>293</v>
      </c>
      <c r="F60" s="258"/>
      <c r="G60" s="48">
        <v>27.359</v>
      </c>
      <c r="H60" s="50"/>
    </row>
    <row r="61" spans="1:8" ht="15" customHeight="1">
      <c r="A61" s="44" t="s">
        <v>293</v>
      </c>
      <c r="B61" s="61" t="s">
        <v>470</v>
      </c>
      <c r="C61" s="61" t="s">
        <v>175</v>
      </c>
      <c r="D61" s="256" t="s">
        <v>197</v>
      </c>
      <c r="E61" s="256"/>
      <c r="F61" s="61" t="s">
        <v>293</v>
      </c>
      <c r="G61" s="4" t="s">
        <v>293</v>
      </c>
      <c r="H61" s="55" t="s">
        <v>293</v>
      </c>
    </row>
    <row r="62" spans="1:8" ht="15" customHeight="1">
      <c r="A62" s="35" t="s">
        <v>35</v>
      </c>
      <c r="B62" s="26" t="s">
        <v>470</v>
      </c>
      <c r="C62" s="26" t="s">
        <v>267</v>
      </c>
      <c r="D62" s="194" t="s">
        <v>22</v>
      </c>
      <c r="E62" s="194"/>
      <c r="F62" s="26" t="s">
        <v>102</v>
      </c>
      <c r="G62" s="5">
        <v>2</v>
      </c>
      <c r="H62" s="29">
        <v>0</v>
      </c>
    </row>
    <row r="63" spans="1:8" ht="15" customHeight="1">
      <c r="A63" s="12"/>
      <c r="D63" s="68" t="s">
        <v>291</v>
      </c>
      <c r="E63" s="258" t="s">
        <v>375</v>
      </c>
      <c r="F63" s="258"/>
      <c r="G63" s="48">
        <v>2</v>
      </c>
      <c r="H63" s="50"/>
    </row>
    <row r="64" spans="1:8" ht="15" customHeight="1">
      <c r="A64" s="35" t="s">
        <v>296</v>
      </c>
      <c r="B64" s="26" t="s">
        <v>470</v>
      </c>
      <c r="C64" s="26" t="s">
        <v>136</v>
      </c>
      <c r="D64" s="194" t="s">
        <v>433</v>
      </c>
      <c r="E64" s="194"/>
      <c r="F64" s="26" t="s">
        <v>102</v>
      </c>
      <c r="G64" s="5">
        <v>2</v>
      </c>
      <c r="H64" s="29">
        <v>0</v>
      </c>
    </row>
    <row r="65" spans="1:8" ht="15" customHeight="1">
      <c r="A65" s="12"/>
      <c r="D65" s="68" t="s">
        <v>291</v>
      </c>
      <c r="E65" s="258" t="s">
        <v>80</v>
      </c>
      <c r="F65" s="258"/>
      <c r="G65" s="48">
        <v>2</v>
      </c>
      <c r="H65" s="50"/>
    </row>
    <row r="66" spans="1:8" ht="15" customHeight="1">
      <c r="A66" s="35" t="s">
        <v>346</v>
      </c>
      <c r="B66" s="26" t="s">
        <v>470</v>
      </c>
      <c r="C66" s="26" t="s">
        <v>165</v>
      </c>
      <c r="D66" s="194" t="s">
        <v>147</v>
      </c>
      <c r="E66" s="194"/>
      <c r="F66" s="26" t="s">
        <v>102</v>
      </c>
      <c r="G66" s="5">
        <v>1</v>
      </c>
      <c r="H66" s="29">
        <v>0</v>
      </c>
    </row>
    <row r="67" spans="1:8" ht="15" customHeight="1">
      <c r="A67" s="12"/>
      <c r="D67" s="68" t="s">
        <v>429</v>
      </c>
      <c r="E67" s="258" t="s">
        <v>80</v>
      </c>
      <c r="F67" s="258"/>
      <c r="G67" s="48">
        <v>1</v>
      </c>
      <c r="H67" s="50"/>
    </row>
    <row r="68" spans="1:8" ht="15" customHeight="1">
      <c r="A68" s="35" t="s">
        <v>268</v>
      </c>
      <c r="B68" s="26" t="s">
        <v>470</v>
      </c>
      <c r="C68" s="26" t="s">
        <v>249</v>
      </c>
      <c r="D68" s="194" t="s">
        <v>212</v>
      </c>
      <c r="E68" s="194"/>
      <c r="F68" s="26" t="s">
        <v>358</v>
      </c>
      <c r="G68" s="5">
        <v>1</v>
      </c>
      <c r="H68" s="29">
        <v>0</v>
      </c>
    </row>
    <row r="69" spans="1:8" ht="15" customHeight="1">
      <c r="A69" s="12"/>
      <c r="D69" s="68" t="s">
        <v>429</v>
      </c>
      <c r="E69" s="258" t="s">
        <v>293</v>
      </c>
      <c r="F69" s="258"/>
      <c r="G69" s="48">
        <v>1</v>
      </c>
      <c r="H69" s="50"/>
    </row>
    <row r="70" spans="1:8" ht="15" customHeight="1">
      <c r="A70" s="35" t="s">
        <v>14</v>
      </c>
      <c r="B70" s="26" t="s">
        <v>470</v>
      </c>
      <c r="C70" s="26" t="s">
        <v>92</v>
      </c>
      <c r="D70" s="194" t="s">
        <v>11</v>
      </c>
      <c r="E70" s="194"/>
      <c r="F70" s="26" t="s">
        <v>381</v>
      </c>
      <c r="G70" s="5">
        <v>537.1399</v>
      </c>
      <c r="H70" s="29">
        <v>0</v>
      </c>
    </row>
    <row r="71" spans="1:8" ht="15" customHeight="1">
      <c r="A71" s="12"/>
      <c r="D71" s="68" t="s">
        <v>64</v>
      </c>
      <c r="E71" s="258" t="s">
        <v>293</v>
      </c>
      <c r="F71" s="258"/>
      <c r="G71" s="48">
        <v>537.1399</v>
      </c>
      <c r="H71" s="50"/>
    </row>
    <row r="72" spans="1:8" ht="15" customHeight="1">
      <c r="A72" s="44" t="s">
        <v>293</v>
      </c>
      <c r="B72" s="61" t="s">
        <v>470</v>
      </c>
      <c r="C72" s="61" t="s">
        <v>190</v>
      </c>
      <c r="D72" s="256" t="s">
        <v>131</v>
      </c>
      <c r="E72" s="256"/>
      <c r="F72" s="61" t="s">
        <v>293</v>
      </c>
      <c r="G72" s="4" t="s">
        <v>293</v>
      </c>
      <c r="H72" s="55" t="s">
        <v>293</v>
      </c>
    </row>
    <row r="73" spans="1:8" ht="15" customHeight="1">
      <c r="A73" s="35" t="s">
        <v>302</v>
      </c>
      <c r="B73" s="26" t="s">
        <v>470</v>
      </c>
      <c r="C73" s="26" t="s">
        <v>261</v>
      </c>
      <c r="D73" s="194" t="s">
        <v>169</v>
      </c>
      <c r="E73" s="194"/>
      <c r="F73" s="26" t="s">
        <v>102</v>
      </c>
      <c r="G73" s="5">
        <v>1</v>
      </c>
      <c r="H73" s="29">
        <v>0</v>
      </c>
    </row>
    <row r="74" spans="1:8" ht="15" customHeight="1">
      <c r="A74" s="12"/>
      <c r="D74" s="68" t="s">
        <v>429</v>
      </c>
      <c r="E74" s="258" t="s">
        <v>80</v>
      </c>
      <c r="F74" s="258"/>
      <c r="G74" s="48">
        <v>1</v>
      </c>
      <c r="H74" s="50"/>
    </row>
    <row r="75" spans="1:8" ht="15" customHeight="1">
      <c r="A75" s="35" t="s">
        <v>411</v>
      </c>
      <c r="B75" s="26" t="s">
        <v>470</v>
      </c>
      <c r="C75" s="26" t="s">
        <v>349</v>
      </c>
      <c r="D75" s="194" t="s">
        <v>112</v>
      </c>
      <c r="E75" s="194"/>
      <c r="F75" s="26" t="s">
        <v>423</v>
      </c>
      <c r="G75" s="5">
        <v>0.8</v>
      </c>
      <c r="H75" s="29">
        <v>0</v>
      </c>
    </row>
    <row r="76" spans="1:8" ht="15" customHeight="1">
      <c r="A76" s="12"/>
      <c r="D76" s="68" t="s">
        <v>50</v>
      </c>
      <c r="E76" s="258" t="s">
        <v>293</v>
      </c>
      <c r="F76" s="258"/>
      <c r="G76" s="48">
        <v>0.8</v>
      </c>
      <c r="H76" s="50"/>
    </row>
    <row r="77" spans="1:8" ht="15" customHeight="1">
      <c r="A77" s="35" t="s">
        <v>188</v>
      </c>
      <c r="B77" s="26" t="s">
        <v>470</v>
      </c>
      <c r="C77" s="26" t="s">
        <v>236</v>
      </c>
      <c r="D77" s="194" t="s">
        <v>93</v>
      </c>
      <c r="E77" s="194"/>
      <c r="F77" s="26" t="s">
        <v>381</v>
      </c>
      <c r="G77" s="5">
        <v>103.11000000000001</v>
      </c>
      <c r="H77" s="29">
        <v>0</v>
      </c>
    </row>
    <row r="78" spans="1:8" ht="15" customHeight="1">
      <c r="A78" s="12"/>
      <c r="D78" s="68" t="s">
        <v>6</v>
      </c>
      <c r="E78" s="258" t="s">
        <v>293</v>
      </c>
      <c r="F78" s="258"/>
      <c r="G78" s="48">
        <v>103.11000000000001</v>
      </c>
      <c r="H78" s="50"/>
    </row>
    <row r="79" spans="1:8" ht="15" customHeight="1">
      <c r="A79" s="44" t="s">
        <v>293</v>
      </c>
      <c r="B79" s="61" t="s">
        <v>470</v>
      </c>
      <c r="C79" s="61" t="s">
        <v>340</v>
      </c>
      <c r="D79" s="256" t="s">
        <v>280</v>
      </c>
      <c r="E79" s="256"/>
      <c r="F79" s="61" t="s">
        <v>293</v>
      </c>
      <c r="G79" s="4" t="s">
        <v>293</v>
      </c>
      <c r="H79" s="55" t="s">
        <v>293</v>
      </c>
    </row>
    <row r="80" spans="1:8" ht="15" customHeight="1">
      <c r="A80" s="35" t="s">
        <v>38</v>
      </c>
      <c r="B80" s="26" t="s">
        <v>470</v>
      </c>
      <c r="C80" s="26" t="s">
        <v>456</v>
      </c>
      <c r="D80" s="194" t="s">
        <v>144</v>
      </c>
      <c r="E80" s="194"/>
      <c r="F80" s="26" t="s">
        <v>423</v>
      </c>
      <c r="G80" s="5">
        <v>273.13300000000004</v>
      </c>
      <c r="H80" s="29">
        <v>0</v>
      </c>
    </row>
    <row r="81" spans="1:8" ht="15" customHeight="1">
      <c r="A81" s="12"/>
      <c r="D81" s="68" t="s">
        <v>247</v>
      </c>
      <c r="E81" s="258" t="s">
        <v>315</v>
      </c>
      <c r="F81" s="258"/>
      <c r="G81" s="48">
        <v>239.8</v>
      </c>
      <c r="H81" s="50"/>
    </row>
    <row r="82" spans="1:8" ht="15" customHeight="1">
      <c r="A82" s="35" t="s">
        <v>293</v>
      </c>
      <c r="B82" s="26" t="s">
        <v>293</v>
      </c>
      <c r="C82" s="26" t="s">
        <v>293</v>
      </c>
      <c r="D82" s="68" t="s">
        <v>191</v>
      </c>
      <c r="E82" s="258" t="s">
        <v>232</v>
      </c>
      <c r="F82" s="258"/>
      <c r="G82" s="48">
        <v>33.333000000000006</v>
      </c>
      <c r="H82" s="56" t="s">
        <v>293</v>
      </c>
    </row>
    <row r="83" spans="1:8" ht="15" customHeight="1">
      <c r="A83" s="35" t="s">
        <v>101</v>
      </c>
      <c r="B83" s="26" t="s">
        <v>470</v>
      </c>
      <c r="C83" s="26" t="s">
        <v>211</v>
      </c>
      <c r="D83" s="194" t="s">
        <v>386</v>
      </c>
      <c r="E83" s="194"/>
      <c r="F83" s="26" t="s">
        <v>423</v>
      </c>
      <c r="G83" s="5">
        <v>273.8</v>
      </c>
      <c r="H83" s="29">
        <v>0</v>
      </c>
    </row>
    <row r="84" spans="1:8" ht="15" customHeight="1">
      <c r="A84" s="12"/>
      <c r="D84" s="68" t="s">
        <v>247</v>
      </c>
      <c r="E84" s="258" t="s">
        <v>315</v>
      </c>
      <c r="F84" s="258"/>
      <c r="G84" s="48">
        <v>239.8</v>
      </c>
      <c r="H84" s="50"/>
    </row>
    <row r="85" spans="1:8" ht="15" customHeight="1">
      <c r="A85" s="35" t="s">
        <v>293</v>
      </c>
      <c r="B85" s="26" t="s">
        <v>293</v>
      </c>
      <c r="C85" s="26" t="s">
        <v>293</v>
      </c>
      <c r="D85" s="68" t="s">
        <v>47</v>
      </c>
      <c r="E85" s="258" t="s">
        <v>232</v>
      </c>
      <c r="F85" s="258"/>
      <c r="G85" s="48">
        <v>34</v>
      </c>
      <c r="H85" s="56" t="s">
        <v>293</v>
      </c>
    </row>
    <row r="86" spans="1:8" ht="15" customHeight="1">
      <c r="A86" s="35" t="s">
        <v>51</v>
      </c>
      <c r="B86" s="26" t="s">
        <v>470</v>
      </c>
      <c r="C86" s="26" t="s">
        <v>61</v>
      </c>
      <c r="D86" s="194" t="s">
        <v>345</v>
      </c>
      <c r="E86" s="194"/>
      <c r="F86" s="26" t="s">
        <v>423</v>
      </c>
      <c r="G86" s="5">
        <v>276.8118</v>
      </c>
      <c r="H86" s="29">
        <v>0</v>
      </c>
    </row>
    <row r="87" spans="1:8" ht="15" customHeight="1">
      <c r="A87" s="12"/>
      <c r="D87" s="68" t="s">
        <v>247</v>
      </c>
      <c r="E87" s="258" t="s">
        <v>315</v>
      </c>
      <c r="F87" s="258"/>
      <c r="G87" s="48">
        <v>239.8</v>
      </c>
      <c r="H87" s="50"/>
    </row>
    <row r="88" spans="1:8" ht="15" customHeight="1">
      <c r="A88" s="35" t="s">
        <v>293</v>
      </c>
      <c r="B88" s="26" t="s">
        <v>293</v>
      </c>
      <c r="C88" s="26" t="s">
        <v>293</v>
      </c>
      <c r="D88" s="68" t="s">
        <v>47</v>
      </c>
      <c r="E88" s="258" t="s">
        <v>232</v>
      </c>
      <c r="F88" s="258"/>
      <c r="G88" s="48">
        <v>34</v>
      </c>
      <c r="H88" s="56" t="s">
        <v>293</v>
      </c>
    </row>
    <row r="89" spans="1:8" ht="15" customHeight="1">
      <c r="A89" s="35" t="s">
        <v>293</v>
      </c>
      <c r="B89" s="26" t="s">
        <v>293</v>
      </c>
      <c r="C89" s="26" t="s">
        <v>293</v>
      </c>
      <c r="D89" s="68" t="s">
        <v>133</v>
      </c>
      <c r="E89" s="258" t="s">
        <v>293</v>
      </c>
      <c r="F89" s="258"/>
      <c r="G89" s="48">
        <v>3.0118</v>
      </c>
      <c r="H89" s="56" t="s">
        <v>293</v>
      </c>
    </row>
    <row r="90" spans="1:8" ht="15" customHeight="1">
      <c r="A90" s="35" t="s">
        <v>420</v>
      </c>
      <c r="B90" s="26" t="s">
        <v>470</v>
      </c>
      <c r="C90" s="26" t="s">
        <v>171</v>
      </c>
      <c r="D90" s="194" t="s">
        <v>455</v>
      </c>
      <c r="E90" s="194"/>
      <c r="F90" s="26" t="s">
        <v>358</v>
      </c>
      <c r="G90" s="5">
        <v>144.56</v>
      </c>
      <c r="H90" s="29">
        <v>0</v>
      </c>
    </row>
    <row r="91" spans="1:8" ht="15" customHeight="1">
      <c r="A91" s="12"/>
      <c r="D91" s="68" t="s">
        <v>214</v>
      </c>
      <c r="E91" s="258" t="s">
        <v>62</v>
      </c>
      <c r="F91" s="258"/>
      <c r="G91" s="48">
        <v>36.940000000000005</v>
      </c>
      <c r="H91" s="50"/>
    </row>
    <row r="92" spans="1:8" ht="15" customHeight="1">
      <c r="A92" s="35" t="s">
        <v>293</v>
      </c>
      <c r="B92" s="26" t="s">
        <v>293</v>
      </c>
      <c r="C92" s="26" t="s">
        <v>293</v>
      </c>
      <c r="D92" s="68" t="s">
        <v>400</v>
      </c>
      <c r="E92" s="258" t="s">
        <v>42</v>
      </c>
      <c r="F92" s="258"/>
      <c r="G92" s="48">
        <v>28.200000000000003</v>
      </c>
      <c r="H92" s="56" t="s">
        <v>293</v>
      </c>
    </row>
    <row r="93" spans="1:8" ht="15" customHeight="1">
      <c r="A93" s="35" t="s">
        <v>293</v>
      </c>
      <c r="B93" s="26" t="s">
        <v>293</v>
      </c>
      <c r="C93" s="26" t="s">
        <v>293</v>
      </c>
      <c r="D93" s="68" t="s">
        <v>9</v>
      </c>
      <c r="E93" s="258" t="s">
        <v>42</v>
      </c>
      <c r="F93" s="258"/>
      <c r="G93" s="48">
        <v>25.040000000000003</v>
      </c>
      <c r="H93" s="56" t="s">
        <v>293</v>
      </c>
    </row>
    <row r="94" spans="1:8" ht="15" customHeight="1">
      <c r="A94" s="35" t="s">
        <v>293</v>
      </c>
      <c r="B94" s="26" t="s">
        <v>293</v>
      </c>
      <c r="C94" s="26" t="s">
        <v>293</v>
      </c>
      <c r="D94" s="68" t="s">
        <v>417</v>
      </c>
      <c r="E94" s="258" t="s">
        <v>375</v>
      </c>
      <c r="F94" s="258"/>
      <c r="G94" s="48">
        <v>25.470000000000002</v>
      </c>
      <c r="H94" s="56" t="s">
        <v>293</v>
      </c>
    </row>
    <row r="95" spans="1:8" ht="15" customHeight="1">
      <c r="A95" s="35" t="s">
        <v>293</v>
      </c>
      <c r="B95" s="26" t="s">
        <v>293</v>
      </c>
      <c r="C95" s="26" t="s">
        <v>293</v>
      </c>
      <c r="D95" s="68" t="s">
        <v>82</v>
      </c>
      <c r="E95" s="258" t="s">
        <v>382</v>
      </c>
      <c r="F95" s="258"/>
      <c r="G95" s="48">
        <v>17.520000000000003</v>
      </c>
      <c r="H95" s="56" t="s">
        <v>293</v>
      </c>
    </row>
    <row r="96" spans="1:8" ht="15" customHeight="1">
      <c r="A96" s="35" t="s">
        <v>293</v>
      </c>
      <c r="B96" s="26" t="s">
        <v>293</v>
      </c>
      <c r="C96" s="26" t="s">
        <v>293</v>
      </c>
      <c r="D96" s="68" t="s">
        <v>146</v>
      </c>
      <c r="E96" s="258" t="s">
        <v>425</v>
      </c>
      <c r="F96" s="258"/>
      <c r="G96" s="48">
        <v>4.17</v>
      </c>
      <c r="H96" s="56" t="s">
        <v>293</v>
      </c>
    </row>
    <row r="97" spans="1:8" ht="15" customHeight="1">
      <c r="A97" s="35" t="s">
        <v>293</v>
      </c>
      <c r="B97" s="26" t="s">
        <v>293</v>
      </c>
      <c r="C97" s="26" t="s">
        <v>293</v>
      </c>
      <c r="D97" s="68" t="s">
        <v>402</v>
      </c>
      <c r="E97" s="258" t="s">
        <v>458</v>
      </c>
      <c r="F97" s="258"/>
      <c r="G97" s="48">
        <v>7.220000000000001</v>
      </c>
      <c r="H97" s="56" t="s">
        <v>293</v>
      </c>
    </row>
    <row r="98" spans="1:8" ht="15" customHeight="1">
      <c r="A98" s="35" t="s">
        <v>469</v>
      </c>
      <c r="B98" s="26" t="s">
        <v>470</v>
      </c>
      <c r="C98" s="26" t="s">
        <v>460</v>
      </c>
      <c r="D98" s="194" t="s">
        <v>213</v>
      </c>
      <c r="E98" s="194"/>
      <c r="F98" s="26" t="s">
        <v>381</v>
      </c>
      <c r="G98" s="5">
        <v>6058.5005</v>
      </c>
      <c r="H98" s="29">
        <v>0</v>
      </c>
    </row>
    <row r="99" spans="1:8" ht="15" customHeight="1">
      <c r="A99" s="12"/>
      <c r="D99" s="68" t="s">
        <v>367</v>
      </c>
      <c r="E99" s="258" t="s">
        <v>293</v>
      </c>
      <c r="F99" s="258"/>
      <c r="G99" s="48">
        <v>6058.5005</v>
      </c>
      <c r="H99" s="50"/>
    </row>
    <row r="100" spans="1:8" ht="15" customHeight="1">
      <c r="A100" s="44" t="s">
        <v>293</v>
      </c>
      <c r="B100" s="61" t="s">
        <v>470</v>
      </c>
      <c r="C100" s="61" t="s">
        <v>235</v>
      </c>
      <c r="D100" s="256" t="s">
        <v>344</v>
      </c>
      <c r="E100" s="256"/>
      <c r="F100" s="61" t="s">
        <v>293</v>
      </c>
      <c r="G100" s="4" t="s">
        <v>293</v>
      </c>
      <c r="H100" s="55" t="s">
        <v>293</v>
      </c>
    </row>
    <row r="101" spans="1:8" ht="15" customHeight="1">
      <c r="A101" s="35" t="s">
        <v>26</v>
      </c>
      <c r="B101" s="26" t="s">
        <v>470</v>
      </c>
      <c r="C101" s="26" t="s">
        <v>297</v>
      </c>
      <c r="D101" s="194" t="s">
        <v>220</v>
      </c>
      <c r="E101" s="194"/>
      <c r="F101" s="26" t="s">
        <v>423</v>
      </c>
      <c r="G101" s="5">
        <v>38.41517</v>
      </c>
      <c r="H101" s="29">
        <v>0</v>
      </c>
    </row>
    <row r="102" spans="1:8" ht="15" customHeight="1">
      <c r="A102" s="12"/>
      <c r="D102" s="68" t="s">
        <v>276</v>
      </c>
      <c r="E102" s="258" t="s">
        <v>17</v>
      </c>
      <c r="F102" s="258"/>
      <c r="G102" s="48">
        <v>32.32</v>
      </c>
      <c r="H102" s="50"/>
    </row>
    <row r="103" spans="1:8" ht="15" customHeight="1">
      <c r="A103" s="35" t="s">
        <v>293</v>
      </c>
      <c r="B103" s="26" t="s">
        <v>293</v>
      </c>
      <c r="C103" s="26" t="s">
        <v>293</v>
      </c>
      <c r="D103" s="68" t="s">
        <v>439</v>
      </c>
      <c r="E103" s="258" t="s">
        <v>80</v>
      </c>
      <c r="F103" s="258"/>
      <c r="G103" s="48">
        <v>5.44</v>
      </c>
      <c r="H103" s="56" t="s">
        <v>293</v>
      </c>
    </row>
    <row r="104" spans="1:8" ht="15" customHeight="1">
      <c r="A104" s="35" t="s">
        <v>293</v>
      </c>
      <c r="B104" s="26" t="s">
        <v>293</v>
      </c>
      <c r="C104" s="26" t="s">
        <v>293</v>
      </c>
      <c r="D104" s="68" t="s">
        <v>119</v>
      </c>
      <c r="E104" s="258" t="s">
        <v>129</v>
      </c>
      <c r="F104" s="258"/>
      <c r="G104" s="48">
        <v>0.65517</v>
      </c>
      <c r="H104" s="56" t="s">
        <v>293</v>
      </c>
    </row>
    <row r="105" spans="1:8" ht="15" customHeight="1">
      <c r="A105" s="35" t="s">
        <v>273</v>
      </c>
      <c r="B105" s="26" t="s">
        <v>470</v>
      </c>
      <c r="C105" s="26" t="s">
        <v>289</v>
      </c>
      <c r="D105" s="194" t="s">
        <v>114</v>
      </c>
      <c r="E105" s="194"/>
      <c r="F105" s="26" t="s">
        <v>423</v>
      </c>
      <c r="G105" s="5">
        <v>38.41517</v>
      </c>
      <c r="H105" s="29">
        <v>0</v>
      </c>
    </row>
    <row r="106" spans="1:8" ht="15" customHeight="1">
      <c r="A106" s="12"/>
      <c r="D106" s="68" t="s">
        <v>276</v>
      </c>
      <c r="E106" s="258" t="s">
        <v>17</v>
      </c>
      <c r="F106" s="258"/>
      <c r="G106" s="48">
        <v>32.32</v>
      </c>
      <c r="H106" s="50"/>
    </row>
    <row r="107" spans="1:8" ht="15" customHeight="1">
      <c r="A107" s="35" t="s">
        <v>293</v>
      </c>
      <c r="B107" s="26" t="s">
        <v>293</v>
      </c>
      <c r="C107" s="26" t="s">
        <v>293</v>
      </c>
      <c r="D107" s="68" t="s">
        <v>439</v>
      </c>
      <c r="E107" s="258" t="s">
        <v>80</v>
      </c>
      <c r="F107" s="258"/>
      <c r="G107" s="48">
        <v>5.44</v>
      </c>
      <c r="H107" s="56" t="s">
        <v>293</v>
      </c>
    </row>
    <row r="108" spans="1:8" ht="15" customHeight="1">
      <c r="A108" s="35" t="s">
        <v>293</v>
      </c>
      <c r="B108" s="26" t="s">
        <v>293</v>
      </c>
      <c r="C108" s="26" t="s">
        <v>293</v>
      </c>
      <c r="D108" s="68" t="s">
        <v>119</v>
      </c>
      <c r="E108" s="258" t="s">
        <v>129</v>
      </c>
      <c r="F108" s="258"/>
      <c r="G108" s="48">
        <v>0.65517</v>
      </c>
      <c r="H108" s="56" t="s">
        <v>293</v>
      </c>
    </row>
    <row r="109" spans="1:8" ht="15" customHeight="1">
      <c r="A109" s="35" t="s">
        <v>243</v>
      </c>
      <c r="B109" s="26" t="s">
        <v>470</v>
      </c>
      <c r="C109" s="26" t="s">
        <v>201</v>
      </c>
      <c r="D109" s="194" t="s">
        <v>484</v>
      </c>
      <c r="E109" s="194"/>
      <c r="F109" s="26" t="s">
        <v>423</v>
      </c>
      <c r="G109" s="5">
        <v>38.41517</v>
      </c>
      <c r="H109" s="29">
        <v>0</v>
      </c>
    </row>
    <row r="110" spans="1:8" ht="15" customHeight="1">
      <c r="A110" s="12"/>
      <c r="D110" s="68" t="s">
        <v>276</v>
      </c>
      <c r="E110" s="258" t="s">
        <v>17</v>
      </c>
      <c r="F110" s="258"/>
      <c r="G110" s="48">
        <v>32.32</v>
      </c>
      <c r="H110" s="50"/>
    </row>
    <row r="111" spans="1:8" ht="15" customHeight="1">
      <c r="A111" s="35" t="s">
        <v>293</v>
      </c>
      <c r="B111" s="26" t="s">
        <v>293</v>
      </c>
      <c r="C111" s="26" t="s">
        <v>293</v>
      </c>
      <c r="D111" s="68" t="s">
        <v>439</v>
      </c>
      <c r="E111" s="258" t="s">
        <v>80</v>
      </c>
      <c r="F111" s="258"/>
      <c r="G111" s="48">
        <v>5.44</v>
      </c>
      <c r="H111" s="56" t="s">
        <v>293</v>
      </c>
    </row>
    <row r="112" spans="1:8" ht="15" customHeight="1">
      <c r="A112" s="35" t="s">
        <v>293</v>
      </c>
      <c r="B112" s="26" t="s">
        <v>293</v>
      </c>
      <c r="C112" s="26" t="s">
        <v>293</v>
      </c>
      <c r="D112" s="68" t="s">
        <v>119</v>
      </c>
      <c r="E112" s="258" t="s">
        <v>129</v>
      </c>
      <c r="F112" s="258"/>
      <c r="G112" s="48">
        <v>0.65517</v>
      </c>
      <c r="H112" s="56" t="s">
        <v>293</v>
      </c>
    </row>
    <row r="113" spans="1:8" ht="15" customHeight="1">
      <c r="A113" s="35" t="s">
        <v>362</v>
      </c>
      <c r="B113" s="26" t="s">
        <v>470</v>
      </c>
      <c r="C113" s="26" t="s">
        <v>121</v>
      </c>
      <c r="D113" s="194" t="s">
        <v>152</v>
      </c>
      <c r="E113" s="194"/>
      <c r="F113" s="26" t="s">
        <v>423</v>
      </c>
      <c r="G113" s="5">
        <v>0.2775</v>
      </c>
      <c r="H113" s="29">
        <v>0</v>
      </c>
    </row>
    <row r="114" spans="1:8" ht="15" customHeight="1">
      <c r="A114" s="12"/>
      <c r="D114" s="68" t="s">
        <v>257</v>
      </c>
      <c r="E114" s="258" t="s">
        <v>375</v>
      </c>
      <c r="F114" s="258"/>
      <c r="G114" s="48">
        <v>0.2775</v>
      </c>
      <c r="H114" s="50"/>
    </row>
    <row r="115" spans="1:8" ht="15" customHeight="1">
      <c r="A115" s="35" t="s">
        <v>87</v>
      </c>
      <c r="B115" s="26" t="s">
        <v>470</v>
      </c>
      <c r="C115" s="26" t="s">
        <v>473</v>
      </c>
      <c r="D115" s="194" t="s">
        <v>394</v>
      </c>
      <c r="E115" s="194"/>
      <c r="F115" s="26" t="s">
        <v>423</v>
      </c>
      <c r="G115" s="5">
        <v>0.2775</v>
      </c>
      <c r="H115" s="29">
        <v>0</v>
      </c>
    </row>
    <row r="116" spans="1:8" ht="15" customHeight="1">
      <c r="A116" s="12"/>
      <c r="D116" s="68" t="s">
        <v>257</v>
      </c>
      <c r="E116" s="258" t="s">
        <v>375</v>
      </c>
      <c r="F116" s="258"/>
      <c r="G116" s="48">
        <v>0.2775</v>
      </c>
      <c r="H116" s="50"/>
    </row>
    <row r="117" spans="1:8" ht="15" customHeight="1">
      <c r="A117" s="35" t="s">
        <v>478</v>
      </c>
      <c r="B117" s="26" t="s">
        <v>470</v>
      </c>
      <c r="C117" s="26" t="s">
        <v>200</v>
      </c>
      <c r="D117" s="194" t="s">
        <v>481</v>
      </c>
      <c r="E117" s="194"/>
      <c r="F117" s="26" t="s">
        <v>423</v>
      </c>
      <c r="G117" s="5">
        <v>3.6445000000000003</v>
      </c>
      <c r="H117" s="29">
        <v>0</v>
      </c>
    </row>
    <row r="118" spans="1:8" ht="15" customHeight="1">
      <c r="A118" s="12"/>
      <c r="D118" s="68" t="s">
        <v>474</v>
      </c>
      <c r="E118" s="258" t="s">
        <v>375</v>
      </c>
      <c r="F118" s="258"/>
      <c r="G118" s="48">
        <v>3.6445000000000003</v>
      </c>
      <c r="H118" s="50"/>
    </row>
    <row r="119" spans="1:8" ht="15" customHeight="1">
      <c r="A119" s="35" t="s">
        <v>388</v>
      </c>
      <c r="B119" s="26" t="s">
        <v>470</v>
      </c>
      <c r="C119" s="26" t="s">
        <v>337</v>
      </c>
      <c r="D119" s="194" t="s">
        <v>403</v>
      </c>
      <c r="E119" s="194"/>
      <c r="F119" s="26" t="s">
        <v>423</v>
      </c>
      <c r="G119" s="5">
        <v>3.6445000000000003</v>
      </c>
      <c r="H119" s="29">
        <v>0</v>
      </c>
    </row>
    <row r="120" spans="1:8" ht="15" customHeight="1">
      <c r="A120" s="12"/>
      <c r="D120" s="68" t="s">
        <v>474</v>
      </c>
      <c r="E120" s="258" t="s">
        <v>375</v>
      </c>
      <c r="F120" s="258"/>
      <c r="G120" s="48">
        <v>3.6445000000000003</v>
      </c>
      <c r="H120" s="50"/>
    </row>
    <row r="121" spans="1:8" ht="15" customHeight="1">
      <c r="A121" s="44" t="s">
        <v>293</v>
      </c>
      <c r="B121" s="61" t="s">
        <v>470</v>
      </c>
      <c r="C121" s="61" t="s">
        <v>226</v>
      </c>
      <c r="D121" s="256" t="s">
        <v>7</v>
      </c>
      <c r="E121" s="256"/>
      <c r="F121" s="61" t="s">
        <v>293</v>
      </c>
      <c r="G121" s="4" t="s">
        <v>293</v>
      </c>
      <c r="H121" s="55" t="s">
        <v>293</v>
      </c>
    </row>
    <row r="122" spans="1:8" ht="15" customHeight="1">
      <c r="A122" s="35" t="s">
        <v>240</v>
      </c>
      <c r="B122" s="26" t="s">
        <v>470</v>
      </c>
      <c r="C122" s="26" t="s">
        <v>198</v>
      </c>
      <c r="D122" s="194" t="s">
        <v>128</v>
      </c>
      <c r="E122" s="194"/>
      <c r="F122" s="26" t="s">
        <v>423</v>
      </c>
      <c r="G122" s="5">
        <v>80.438</v>
      </c>
      <c r="H122" s="29">
        <v>0</v>
      </c>
    </row>
    <row r="123" spans="1:8" ht="15" customHeight="1">
      <c r="A123" s="12"/>
      <c r="D123" s="68" t="s">
        <v>269</v>
      </c>
      <c r="E123" s="258" t="s">
        <v>37</v>
      </c>
      <c r="F123" s="258"/>
      <c r="G123" s="48">
        <v>61.92</v>
      </c>
      <c r="H123" s="50"/>
    </row>
    <row r="124" spans="1:8" ht="15" customHeight="1">
      <c r="A124" s="35" t="s">
        <v>293</v>
      </c>
      <c r="B124" s="26" t="s">
        <v>293</v>
      </c>
      <c r="C124" s="26" t="s">
        <v>293</v>
      </c>
      <c r="D124" s="68" t="s">
        <v>229</v>
      </c>
      <c r="E124" s="258" t="s">
        <v>288</v>
      </c>
      <c r="F124" s="258"/>
      <c r="G124" s="48">
        <v>18.518</v>
      </c>
      <c r="H124" s="56" t="s">
        <v>293</v>
      </c>
    </row>
    <row r="125" spans="1:8" ht="15" customHeight="1">
      <c r="A125" s="35" t="s">
        <v>422</v>
      </c>
      <c r="B125" s="26" t="s">
        <v>470</v>
      </c>
      <c r="C125" s="26" t="s">
        <v>328</v>
      </c>
      <c r="D125" s="194" t="s">
        <v>396</v>
      </c>
      <c r="E125" s="194"/>
      <c r="F125" s="26" t="s">
        <v>423</v>
      </c>
      <c r="G125" s="5">
        <v>244.36</v>
      </c>
      <c r="H125" s="29">
        <v>0</v>
      </c>
    </row>
    <row r="126" spans="1:8" ht="15" customHeight="1">
      <c r="A126" s="12"/>
      <c r="D126" s="68" t="s">
        <v>290</v>
      </c>
      <c r="E126" s="258" t="s">
        <v>17</v>
      </c>
      <c r="F126" s="258"/>
      <c r="G126" s="48">
        <v>244.36</v>
      </c>
      <c r="H126" s="50"/>
    </row>
    <row r="127" spans="1:8" ht="15" customHeight="1">
      <c r="A127" s="35" t="s">
        <v>245</v>
      </c>
      <c r="B127" s="26" t="s">
        <v>470</v>
      </c>
      <c r="C127" s="26" t="s">
        <v>153</v>
      </c>
      <c r="D127" s="194" t="s">
        <v>56</v>
      </c>
      <c r="E127" s="194"/>
      <c r="F127" s="26" t="s">
        <v>358</v>
      </c>
      <c r="G127" s="5">
        <v>131.60000000000002</v>
      </c>
      <c r="H127" s="29">
        <v>0</v>
      </c>
    </row>
    <row r="128" spans="1:8" ht="15" customHeight="1">
      <c r="A128" s="12"/>
      <c r="D128" s="68" t="s">
        <v>352</v>
      </c>
      <c r="E128" s="258" t="s">
        <v>37</v>
      </c>
      <c r="F128" s="258"/>
      <c r="G128" s="48">
        <v>82.80000000000001</v>
      </c>
      <c r="H128" s="50"/>
    </row>
    <row r="129" spans="1:8" ht="15" customHeight="1">
      <c r="A129" s="35" t="s">
        <v>293</v>
      </c>
      <c r="B129" s="26" t="s">
        <v>293</v>
      </c>
      <c r="C129" s="26" t="s">
        <v>293</v>
      </c>
      <c r="D129" s="68" t="s">
        <v>30</v>
      </c>
      <c r="E129" s="258" t="s">
        <v>288</v>
      </c>
      <c r="F129" s="258"/>
      <c r="G129" s="48">
        <v>48.800000000000004</v>
      </c>
      <c r="H129" s="56" t="s">
        <v>293</v>
      </c>
    </row>
    <row r="130" spans="1:8" ht="15" customHeight="1">
      <c r="A130" s="35" t="s">
        <v>272</v>
      </c>
      <c r="B130" s="26" t="s">
        <v>470</v>
      </c>
      <c r="C130" s="26" t="s">
        <v>376</v>
      </c>
      <c r="D130" s="194" t="s">
        <v>441</v>
      </c>
      <c r="E130" s="194"/>
      <c r="F130" s="26" t="s">
        <v>423</v>
      </c>
      <c r="G130" s="5">
        <v>20.497000000000003</v>
      </c>
      <c r="H130" s="29">
        <v>0</v>
      </c>
    </row>
    <row r="131" spans="1:8" ht="15" customHeight="1">
      <c r="A131" s="12"/>
      <c r="D131" s="68" t="s">
        <v>370</v>
      </c>
      <c r="E131" s="258" t="s">
        <v>42</v>
      </c>
      <c r="F131" s="258"/>
      <c r="G131" s="48">
        <v>19.137</v>
      </c>
      <c r="H131" s="50"/>
    </row>
    <row r="132" spans="1:8" ht="15" customHeight="1">
      <c r="A132" s="35" t="s">
        <v>293</v>
      </c>
      <c r="B132" s="26" t="s">
        <v>293</v>
      </c>
      <c r="C132" s="26" t="s">
        <v>293</v>
      </c>
      <c r="D132" s="68" t="s">
        <v>206</v>
      </c>
      <c r="E132" s="258" t="s">
        <v>293</v>
      </c>
      <c r="F132" s="258"/>
      <c r="G132" s="48">
        <v>1.36</v>
      </c>
      <c r="H132" s="56" t="s">
        <v>293</v>
      </c>
    </row>
    <row r="133" spans="1:8" ht="15" customHeight="1">
      <c r="A133" s="35" t="s">
        <v>149</v>
      </c>
      <c r="B133" s="26" t="s">
        <v>470</v>
      </c>
      <c r="C133" s="26" t="s">
        <v>28</v>
      </c>
      <c r="D133" s="194" t="s">
        <v>21</v>
      </c>
      <c r="E133" s="194"/>
      <c r="F133" s="26" t="s">
        <v>423</v>
      </c>
      <c r="G133" s="5">
        <v>20.497000000000003</v>
      </c>
      <c r="H133" s="29">
        <v>0</v>
      </c>
    </row>
    <row r="134" spans="1:8" ht="15" customHeight="1">
      <c r="A134" s="12"/>
      <c r="D134" s="68" t="s">
        <v>370</v>
      </c>
      <c r="E134" s="258" t="s">
        <v>42</v>
      </c>
      <c r="F134" s="258"/>
      <c r="G134" s="48">
        <v>19.137</v>
      </c>
      <c r="H134" s="50"/>
    </row>
    <row r="135" spans="1:8" ht="15" customHeight="1">
      <c r="A135" s="35" t="s">
        <v>293</v>
      </c>
      <c r="B135" s="26" t="s">
        <v>293</v>
      </c>
      <c r="C135" s="26" t="s">
        <v>293</v>
      </c>
      <c r="D135" s="68" t="s">
        <v>206</v>
      </c>
      <c r="E135" s="258" t="s">
        <v>293</v>
      </c>
      <c r="F135" s="258"/>
      <c r="G135" s="48">
        <v>1.36</v>
      </c>
      <c r="H135" s="56" t="s">
        <v>293</v>
      </c>
    </row>
    <row r="136" spans="1:8" ht="15" customHeight="1">
      <c r="A136" s="35" t="s">
        <v>424</v>
      </c>
      <c r="B136" s="26" t="s">
        <v>470</v>
      </c>
      <c r="C136" s="26" t="s">
        <v>207</v>
      </c>
      <c r="D136" s="194" t="s">
        <v>262</v>
      </c>
      <c r="E136" s="194"/>
      <c r="F136" s="26" t="s">
        <v>423</v>
      </c>
      <c r="G136" s="5">
        <v>629.4910000000001</v>
      </c>
      <c r="H136" s="29">
        <v>0</v>
      </c>
    </row>
    <row r="137" spans="1:8" ht="15" customHeight="1">
      <c r="A137" s="12"/>
      <c r="D137" s="68" t="s">
        <v>120</v>
      </c>
      <c r="E137" s="258" t="s">
        <v>62</v>
      </c>
      <c r="F137" s="258"/>
      <c r="G137" s="48">
        <v>220.28900000000002</v>
      </c>
      <c r="H137" s="50"/>
    </row>
    <row r="138" spans="1:8" ht="15" customHeight="1">
      <c r="A138" s="35" t="s">
        <v>293</v>
      </c>
      <c r="B138" s="26" t="s">
        <v>293</v>
      </c>
      <c r="C138" s="26" t="s">
        <v>293</v>
      </c>
      <c r="D138" s="68" t="s">
        <v>259</v>
      </c>
      <c r="E138" s="258" t="s">
        <v>274</v>
      </c>
      <c r="F138" s="258"/>
      <c r="G138" s="48">
        <v>137.01700000000002</v>
      </c>
      <c r="H138" s="56" t="s">
        <v>293</v>
      </c>
    </row>
    <row r="139" spans="1:8" ht="15" customHeight="1">
      <c r="A139" s="35" t="s">
        <v>293</v>
      </c>
      <c r="B139" s="26" t="s">
        <v>293</v>
      </c>
      <c r="C139" s="26" t="s">
        <v>293</v>
      </c>
      <c r="D139" s="68" t="s">
        <v>199</v>
      </c>
      <c r="E139" s="258" t="s">
        <v>161</v>
      </c>
      <c r="F139" s="258"/>
      <c r="G139" s="48">
        <v>11.56</v>
      </c>
      <c r="H139" s="56" t="s">
        <v>293</v>
      </c>
    </row>
    <row r="140" spans="1:8" ht="15" customHeight="1">
      <c r="A140" s="35" t="s">
        <v>293</v>
      </c>
      <c r="B140" s="26" t="s">
        <v>293</v>
      </c>
      <c r="C140" s="26" t="s">
        <v>293</v>
      </c>
      <c r="D140" s="68" t="s">
        <v>338</v>
      </c>
      <c r="E140" s="258" t="s">
        <v>42</v>
      </c>
      <c r="F140" s="258"/>
      <c r="G140" s="48">
        <v>109.203</v>
      </c>
      <c r="H140" s="56" t="s">
        <v>293</v>
      </c>
    </row>
    <row r="141" spans="1:8" ht="15" customHeight="1">
      <c r="A141" s="35" t="s">
        <v>293</v>
      </c>
      <c r="B141" s="26" t="s">
        <v>293</v>
      </c>
      <c r="C141" s="26" t="s">
        <v>293</v>
      </c>
      <c r="D141" s="68" t="s">
        <v>258</v>
      </c>
      <c r="E141" s="258" t="s">
        <v>375</v>
      </c>
      <c r="F141" s="258"/>
      <c r="G141" s="48">
        <v>128.30200000000002</v>
      </c>
      <c r="H141" s="56" t="s">
        <v>293</v>
      </c>
    </row>
    <row r="142" spans="1:8" ht="15" customHeight="1">
      <c r="A142" s="35" t="s">
        <v>293</v>
      </c>
      <c r="B142" s="26" t="s">
        <v>293</v>
      </c>
      <c r="C142" s="26" t="s">
        <v>293</v>
      </c>
      <c r="D142" s="68" t="s">
        <v>199</v>
      </c>
      <c r="E142" s="258" t="s">
        <v>238</v>
      </c>
      <c r="F142" s="258"/>
      <c r="G142" s="48">
        <v>11.56</v>
      </c>
      <c r="H142" s="56" t="s">
        <v>293</v>
      </c>
    </row>
    <row r="143" spans="1:8" ht="15" customHeight="1">
      <c r="A143" s="35" t="s">
        <v>293</v>
      </c>
      <c r="B143" s="26" t="s">
        <v>293</v>
      </c>
      <c r="C143" s="26" t="s">
        <v>293</v>
      </c>
      <c r="D143" s="68" t="s">
        <v>199</v>
      </c>
      <c r="E143" s="258" t="s">
        <v>299</v>
      </c>
      <c r="F143" s="258"/>
      <c r="G143" s="48">
        <v>11.56</v>
      </c>
      <c r="H143" s="56" t="s">
        <v>293</v>
      </c>
    </row>
    <row r="144" spans="1:8" ht="15" customHeight="1">
      <c r="A144" s="35" t="s">
        <v>72</v>
      </c>
      <c r="B144" s="26" t="s">
        <v>470</v>
      </c>
      <c r="C144" s="26" t="s">
        <v>359</v>
      </c>
      <c r="D144" s="194" t="s">
        <v>305</v>
      </c>
      <c r="E144" s="194"/>
      <c r="F144" s="26" t="s">
        <v>423</v>
      </c>
      <c r="G144" s="5">
        <v>629.4910000000001</v>
      </c>
      <c r="H144" s="29">
        <v>0</v>
      </c>
    </row>
    <row r="145" spans="1:8" ht="15" customHeight="1">
      <c r="A145" s="12"/>
      <c r="D145" s="68" t="s">
        <v>120</v>
      </c>
      <c r="E145" s="258" t="s">
        <v>62</v>
      </c>
      <c r="F145" s="258"/>
      <c r="G145" s="48">
        <v>220.28900000000002</v>
      </c>
      <c r="H145" s="50"/>
    </row>
    <row r="146" spans="1:8" ht="15" customHeight="1">
      <c r="A146" s="35" t="s">
        <v>293</v>
      </c>
      <c r="B146" s="26" t="s">
        <v>293</v>
      </c>
      <c r="C146" s="26" t="s">
        <v>293</v>
      </c>
      <c r="D146" s="68" t="s">
        <v>259</v>
      </c>
      <c r="E146" s="258" t="s">
        <v>274</v>
      </c>
      <c r="F146" s="258"/>
      <c r="G146" s="48">
        <v>137.01700000000002</v>
      </c>
      <c r="H146" s="56" t="s">
        <v>293</v>
      </c>
    </row>
    <row r="147" spans="1:8" ht="15" customHeight="1">
      <c r="A147" s="35" t="s">
        <v>293</v>
      </c>
      <c r="B147" s="26" t="s">
        <v>293</v>
      </c>
      <c r="C147" s="26" t="s">
        <v>293</v>
      </c>
      <c r="D147" s="68" t="s">
        <v>199</v>
      </c>
      <c r="E147" s="258" t="s">
        <v>161</v>
      </c>
      <c r="F147" s="258"/>
      <c r="G147" s="48">
        <v>11.56</v>
      </c>
      <c r="H147" s="56" t="s">
        <v>293</v>
      </c>
    </row>
    <row r="148" spans="1:8" ht="15" customHeight="1">
      <c r="A148" s="35" t="s">
        <v>293</v>
      </c>
      <c r="B148" s="26" t="s">
        <v>293</v>
      </c>
      <c r="C148" s="26" t="s">
        <v>293</v>
      </c>
      <c r="D148" s="68" t="s">
        <v>338</v>
      </c>
      <c r="E148" s="258" t="s">
        <v>42</v>
      </c>
      <c r="F148" s="258"/>
      <c r="G148" s="48">
        <v>109.203</v>
      </c>
      <c r="H148" s="56" t="s">
        <v>293</v>
      </c>
    </row>
    <row r="149" spans="1:8" ht="15" customHeight="1">
      <c r="A149" s="35" t="s">
        <v>293</v>
      </c>
      <c r="B149" s="26" t="s">
        <v>293</v>
      </c>
      <c r="C149" s="26" t="s">
        <v>293</v>
      </c>
      <c r="D149" s="68" t="s">
        <v>258</v>
      </c>
      <c r="E149" s="258" t="s">
        <v>375</v>
      </c>
      <c r="F149" s="258"/>
      <c r="G149" s="48">
        <v>128.30200000000002</v>
      </c>
      <c r="H149" s="56" t="s">
        <v>293</v>
      </c>
    </row>
    <row r="150" spans="1:8" ht="15" customHeight="1">
      <c r="A150" s="35" t="s">
        <v>293</v>
      </c>
      <c r="B150" s="26" t="s">
        <v>293</v>
      </c>
      <c r="C150" s="26" t="s">
        <v>293</v>
      </c>
      <c r="D150" s="68" t="s">
        <v>199</v>
      </c>
      <c r="E150" s="258" t="s">
        <v>238</v>
      </c>
      <c r="F150" s="258"/>
      <c r="G150" s="48">
        <v>11.56</v>
      </c>
      <c r="H150" s="56" t="s">
        <v>293</v>
      </c>
    </row>
    <row r="151" spans="1:8" ht="15" customHeight="1">
      <c r="A151" s="35" t="s">
        <v>293</v>
      </c>
      <c r="B151" s="26" t="s">
        <v>293</v>
      </c>
      <c r="C151" s="26" t="s">
        <v>293</v>
      </c>
      <c r="D151" s="68" t="s">
        <v>199</v>
      </c>
      <c r="E151" s="258" t="s">
        <v>299</v>
      </c>
      <c r="F151" s="258"/>
      <c r="G151" s="48">
        <v>11.56</v>
      </c>
      <c r="H151" s="56" t="s">
        <v>293</v>
      </c>
    </row>
    <row r="152" spans="1:8" ht="15" customHeight="1">
      <c r="A152" s="35" t="s">
        <v>139</v>
      </c>
      <c r="B152" s="26" t="s">
        <v>470</v>
      </c>
      <c r="C152" s="26" t="s">
        <v>150</v>
      </c>
      <c r="D152" s="194" t="s">
        <v>248</v>
      </c>
      <c r="E152" s="194"/>
      <c r="F152" s="26" t="s">
        <v>423</v>
      </c>
      <c r="G152" s="5">
        <v>629.4910000000001</v>
      </c>
      <c r="H152" s="29">
        <v>0</v>
      </c>
    </row>
    <row r="153" spans="1:8" ht="15" customHeight="1">
      <c r="A153" s="12"/>
      <c r="D153" s="68" t="s">
        <v>120</v>
      </c>
      <c r="E153" s="258" t="s">
        <v>62</v>
      </c>
      <c r="F153" s="258"/>
      <c r="G153" s="48">
        <v>220.28900000000002</v>
      </c>
      <c r="H153" s="50"/>
    </row>
    <row r="154" spans="1:8" ht="15" customHeight="1">
      <c r="A154" s="35" t="s">
        <v>293</v>
      </c>
      <c r="B154" s="26" t="s">
        <v>293</v>
      </c>
      <c r="C154" s="26" t="s">
        <v>293</v>
      </c>
      <c r="D154" s="68" t="s">
        <v>259</v>
      </c>
      <c r="E154" s="258" t="s">
        <v>274</v>
      </c>
      <c r="F154" s="258"/>
      <c r="G154" s="48">
        <v>137.01700000000002</v>
      </c>
      <c r="H154" s="56" t="s">
        <v>293</v>
      </c>
    </row>
    <row r="155" spans="1:8" ht="15" customHeight="1">
      <c r="A155" s="35" t="s">
        <v>293</v>
      </c>
      <c r="B155" s="26" t="s">
        <v>293</v>
      </c>
      <c r="C155" s="26" t="s">
        <v>293</v>
      </c>
      <c r="D155" s="68" t="s">
        <v>199</v>
      </c>
      <c r="E155" s="258" t="s">
        <v>161</v>
      </c>
      <c r="F155" s="258"/>
      <c r="G155" s="48">
        <v>11.56</v>
      </c>
      <c r="H155" s="56" t="s">
        <v>293</v>
      </c>
    </row>
    <row r="156" spans="1:8" ht="15" customHeight="1">
      <c r="A156" s="35" t="s">
        <v>293</v>
      </c>
      <c r="B156" s="26" t="s">
        <v>293</v>
      </c>
      <c r="C156" s="26" t="s">
        <v>293</v>
      </c>
      <c r="D156" s="68" t="s">
        <v>338</v>
      </c>
      <c r="E156" s="258" t="s">
        <v>42</v>
      </c>
      <c r="F156" s="258"/>
      <c r="G156" s="48">
        <v>109.203</v>
      </c>
      <c r="H156" s="56" t="s">
        <v>293</v>
      </c>
    </row>
    <row r="157" spans="1:8" ht="15" customHeight="1">
      <c r="A157" s="35" t="s">
        <v>293</v>
      </c>
      <c r="B157" s="26" t="s">
        <v>293</v>
      </c>
      <c r="C157" s="26" t="s">
        <v>293</v>
      </c>
      <c r="D157" s="68" t="s">
        <v>258</v>
      </c>
      <c r="E157" s="258" t="s">
        <v>375</v>
      </c>
      <c r="F157" s="258"/>
      <c r="G157" s="48">
        <v>128.30200000000002</v>
      </c>
      <c r="H157" s="56" t="s">
        <v>293</v>
      </c>
    </row>
    <row r="158" spans="1:8" ht="15" customHeight="1">
      <c r="A158" s="35" t="s">
        <v>293</v>
      </c>
      <c r="B158" s="26" t="s">
        <v>293</v>
      </c>
      <c r="C158" s="26" t="s">
        <v>293</v>
      </c>
      <c r="D158" s="68" t="s">
        <v>199</v>
      </c>
      <c r="E158" s="258" t="s">
        <v>238</v>
      </c>
      <c r="F158" s="258"/>
      <c r="G158" s="48">
        <v>11.56</v>
      </c>
      <c r="H158" s="56" t="s">
        <v>293</v>
      </c>
    </row>
    <row r="159" spans="1:8" ht="15" customHeight="1">
      <c r="A159" s="35" t="s">
        <v>293</v>
      </c>
      <c r="B159" s="26" t="s">
        <v>293</v>
      </c>
      <c r="C159" s="26" t="s">
        <v>293</v>
      </c>
      <c r="D159" s="68" t="s">
        <v>199</v>
      </c>
      <c r="E159" s="258" t="s">
        <v>299</v>
      </c>
      <c r="F159" s="258"/>
      <c r="G159" s="48">
        <v>11.56</v>
      </c>
      <c r="H159" s="56" t="s">
        <v>293</v>
      </c>
    </row>
    <row r="160" spans="1:8" ht="15" customHeight="1">
      <c r="A160" s="44" t="s">
        <v>293</v>
      </c>
      <c r="B160" s="61" t="s">
        <v>470</v>
      </c>
      <c r="C160" s="61" t="s">
        <v>222</v>
      </c>
      <c r="D160" s="256" t="s">
        <v>482</v>
      </c>
      <c r="E160" s="256"/>
      <c r="F160" s="61" t="s">
        <v>293</v>
      </c>
      <c r="G160" s="4" t="s">
        <v>293</v>
      </c>
      <c r="H160" s="55" t="s">
        <v>293</v>
      </c>
    </row>
    <row r="161" spans="1:8" ht="15" customHeight="1">
      <c r="A161" s="35" t="s">
        <v>184</v>
      </c>
      <c r="B161" s="26" t="s">
        <v>470</v>
      </c>
      <c r="C161" s="26" t="s">
        <v>405</v>
      </c>
      <c r="D161" s="194" t="s">
        <v>392</v>
      </c>
      <c r="E161" s="194"/>
      <c r="F161" s="26" t="s">
        <v>423</v>
      </c>
      <c r="G161" s="5">
        <v>9.360000000000001</v>
      </c>
      <c r="H161" s="29">
        <v>0</v>
      </c>
    </row>
    <row r="162" spans="1:8" ht="15" customHeight="1">
      <c r="A162" s="12"/>
      <c r="D162" s="68" t="s">
        <v>311</v>
      </c>
      <c r="E162" s="258" t="s">
        <v>62</v>
      </c>
      <c r="F162" s="258"/>
      <c r="G162" s="48">
        <v>5.760000000000001</v>
      </c>
      <c r="H162" s="50"/>
    </row>
    <row r="163" spans="1:8" ht="15" customHeight="1">
      <c r="A163" s="35" t="s">
        <v>293</v>
      </c>
      <c r="B163" s="26" t="s">
        <v>293</v>
      </c>
      <c r="C163" s="26" t="s">
        <v>293</v>
      </c>
      <c r="D163" s="68" t="s">
        <v>124</v>
      </c>
      <c r="E163" s="258" t="s">
        <v>382</v>
      </c>
      <c r="F163" s="258"/>
      <c r="G163" s="48">
        <v>3.6</v>
      </c>
      <c r="H163" s="56" t="s">
        <v>293</v>
      </c>
    </row>
    <row r="164" spans="1:8" ht="15" customHeight="1">
      <c r="A164" s="44" t="s">
        <v>293</v>
      </c>
      <c r="B164" s="61" t="s">
        <v>470</v>
      </c>
      <c r="C164" s="61" t="s">
        <v>166</v>
      </c>
      <c r="D164" s="256" t="s">
        <v>319</v>
      </c>
      <c r="E164" s="256"/>
      <c r="F164" s="61" t="s">
        <v>293</v>
      </c>
      <c r="G164" s="4" t="s">
        <v>293</v>
      </c>
      <c r="H164" s="55" t="s">
        <v>293</v>
      </c>
    </row>
    <row r="165" spans="1:8" ht="15" customHeight="1">
      <c r="A165" s="35" t="s">
        <v>148</v>
      </c>
      <c r="B165" s="26" t="s">
        <v>470</v>
      </c>
      <c r="C165" s="26" t="s">
        <v>477</v>
      </c>
      <c r="D165" s="194" t="s">
        <v>156</v>
      </c>
      <c r="E165" s="194"/>
      <c r="F165" s="26" t="s">
        <v>358</v>
      </c>
      <c r="G165" s="5">
        <v>3.4000000000000004</v>
      </c>
      <c r="H165" s="29">
        <v>0</v>
      </c>
    </row>
    <row r="166" spans="1:8" ht="15" customHeight="1">
      <c r="A166" s="12"/>
      <c r="D166" s="68" t="s">
        <v>379</v>
      </c>
      <c r="E166" s="258" t="s">
        <v>17</v>
      </c>
      <c r="F166" s="258"/>
      <c r="G166" s="48">
        <v>3.4000000000000004</v>
      </c>
      <c r="H166" s="50"/>
    </row>
    <row r="167" spans="1:8" ht="15" customHeight="1">
      <c r="A167" s="35" t="s">
        <v>348</v>
      </c>
      <c r="B167" s="26" t="s">
        <v>470</v>
      </c>
      <c r="C167" s="26" t="s">
        <v>284</v>
      </c>
      <c r="D167" s="194" t="s">
        <v>459</v>
      </c>
      <c r="E167" s="194"/>
      <c r="F167" s="26" t="s">
        <v>194</v>
      </c>
      <c r="G167" s="5">
        <v>0.41437</v>
      </c>
      <c r="H167" s="29">
        <v>0</v>
      </c>
    </row>
    <row r="168" spans="1:8" ht="15" customHeight="1">
      <c r="A168" s="44" t="s">
        <v>293</v>
      </c>
      <c r="B168" s="61" t="s">
        <v>470</v>
      </c>
      <c r="C168" s="61" t="s">
        <v>227</v>
      </c>
      <c r="D168" s="256" t="s">
        <v>320</v>
      </c>
      <c r="E168" s="256"/>
      <c r="F168" s="61" t="s">
        <v>293</v>
      </c>
      <c r="G168" s="4" t="s">
        <v>293</v>
      </c>
      <c r="H168" s="55" t="s">
        <v>293</v>
      </c>
    </row>
    <row r="169" spans="1:8" ht="15" customHeight="1">
      <c r="A169" s="35" t="s">
        <v>447</v>
      </c>
      <c r="B169" s="26" t="s">
        <v>470</v>
      </c>
      <c r="C169" s="26" t="s">
        <v>109</v>
      </c>
      <c r="D169" s="194" t="s">
        <v>324</v>
      </c>
      <c r="E169" s="194"/>
      <c r="F169" s="26" t="s">
        <v>423</v>
      </c>
      <c r="G169" s="5">
        <v>192.91950000000003</v>
      </c>
      <c r="H169" s="29">
        <v>0</v>
      </c>
    </row>
    <row r="170" spans="1:8" ht="15" customHeight="1">
      <c r="A170" s="12"/>
      <c r="D170" s="68" t="s">
        <v>445</v>
      </c>
      <c r="E170" s="258" t="s">
        <v>62</v>
      </c>
      <c r="F170" s="258"/>
      <c r="G170" s="48">
        <v>64.081</v>
      </c>
      <c r="H170" s="50"/>
    </row>
    <row r="171" spans="1:8" ht="15" customHeight="1">
      <c r="A171" s="35" t="s">
        <v>293</v>
      </c>
      <c r="B171" s="26" t="s">
        <v>293</v>
      </c>
      <c r="C171" s="26" t="s">
        <v>293</v>
      </c>
      <c r="D171" s="68" t="s">
        <v>55</v>
      </c>
      <c r="E171" s="258" t="s">
        <v>274</v>
      </c>
      <c r="F171" s="258"/>
      <c r="G171" s="48">
        <v>48.404</v>
      </c>
      <c r="H171" s="56" t="s">
        <v>293</v>
      </c>
    </row>
    <row r="172" spans="1:8" ht="15" customHeight="1">
      <c r="A172" s="35" t="s">
        <v>293</v>
      </c>
      <c r="B172" s="26" t="s">
        <v>293</v>
      </c>
      <c r="C172" s="26" t="s">
        <v>293</v>
      </c>
      <c r="D172" s="68" t="s">
        <v>329</v>
      </c>
      <c r="E172" s="258" t="s">
        <v>161</v>
      </c>
      <c r="F172" s="258"/>
      <c r="G172" s="48">
        <v>12.871500000000001</v>
      </c>
      <c r="H172" s="56" t="s">
        <v>293</v>
      </c>
    </row>
    <row r="173" spans="1:8" ht="15" customHeight="1">
      <c r="A173" s="35" t="s">
        <v>293</v>
      </c>
      <c r="B173" s="26" t="s">
        <v>293</v>
      </c>
      <c r="C173" s="26" t="s">
        <v>293</v>
      </c>
      <c r="D173" s="68" t="s">
        <v>1</v>
      </c>
      <c r="E173" s="258" t="s">
        <v>446</v>
      </c>
      <c r="F173" s="258"/>
      <c r="G173" s="48">
        <v>41.82</v>
      </c>
      <c r="H173" s="56" t="s">
        <v>293</v>
      </c>
    </row>
    <row r="174" spans="1:8" ht="15" customHeight="1">
      <c r="A174" s="35" t="s">
        <v>293</v>
      </c>
      <c r="B174" s="26" t="s">
        <v>293</v>
      </c>
      <c r="C174" s="26" t="s">
        <v>293</v>
      </c>
      <c r="D174" s="68" t="s">
        <v>468</v>
      </c>
      <c r="E174" s="258" t="s">
        <v>238</v>
      </c>
      <c r="F174" s="258"/>
      <c r="G174" s="48">
        <v>12.871500000000001</v>
      </c>
      <c r="H174" s="56" t="s">
        <v>293</v>
      </c>
    </row>
    <row r="175" spans="1:8" ht="15" customHeight="1">
      <c r="A175" s="35" t="s">
        <v>293</v>
      </c>
      <c r="B175" s="26" t="s">
        <v>293</v>
      </c>
      <c r="C175" s="26" t="s">
        <v>293</v>
      </c>
      <c r="D175" s="68" t="s">
        <v>468</v>
      </c>
      <c r="E175" s="258" t="s">
        <v>299</v>
      </c>
      <c r="F175" s="258"/>
      <c r="G175" s="48">
        <v>12.871500000000001</v>
      </c>
      <c r="H175" s="56" t="s">
        <v>293</v>
      </c>
    </row>
    <row r="176" spans="1:8" ht="15" customHeight="1">
      <c r="A176" s="35" t="s">
        <v>25</v>
      </c>
      <c r="B176" s="26" t="s">
        <v>470</v>
      </c>
      <c r="C176" s="26" t="s">
        <v>294</v>
      </c>
      <c r="D176" s="194" t="s">
        <v>466</v>
      </c>
      <c r="E176" s="194"/>
      <c r="F176" s="26" t="s">
        <v>415</v>
      </c>
      <c r="G176" s="5">
        <v>10.379050000000001</v>
      </c>
      <c r="H176" s="29">
        <v>0</v>
      </c>
    </row>
    <row r="177" spans="1:8" ht="15" customHeight="1">
      <c r="A177" s="12"/>
      <c r="D177" s="68" t="s">
        <v>256</v>
      </c>
      <c r="E177" s="258" t="s">
        <v>315</v>
      </c>
      <c r="F177" s="258"/>
      <c r="G177" s="48">
        <v>9.112400000000001</v>
      </c>
      <c r="H177" s="50"/>
    </row>
    <row r="178" spans="1:8" ht="15" customHeight="1">
      <c r="A178" s="35" t="s">
        <v>293</v>
      </c>
      <c r="B178" s="26" t="s">
        <v>293</v>
      </c>
      <c r="C178" s="26" t="s">
        <v>293</v>
      </c>
      <c r="D178" s="68" t="s">
        <v>461</v>
      </c>
      <c r="E178" s="258" t="s">
        <v>232</v>
      </c>
      <c r="F178" s="258"/>
      <c r="G178" s="48">
        <v>1.26665</v>
      </c>
      <c r="H178" s="56" t="s">
        <v>293</v>
      </c>
    </row>
    <row r="179" spans="1:8" ht="15" customHeight="1">
      <c r="A179" s="35" t="s">
        <v>333</v>
      </c>
      <c r="B179" s="26" t="s">
        <v>470</v>
      </c>
      <c r="C179" s="26" t="s">
        <v>252</v>
      </c>
      <c r="D179" s="194" t="s">
        <v>85</v>
      </c>
      <c r="E179" s="194"/>
      <c r="F179" s="26" t="s">
        <v>194</v>
      </c>
      <c r="G179" s="5">
        <v>52.23292000000001</v>
      </c>
      <c r="H179" s="29">
        <v>0</v>
      </c>
    </row>
    <row r="180" spans="1:8" ht="15" customHeight="1">
      <c r="A180" s="35" t="s">
        <v>356</v>
      </c>
      <c r="B180" s="26" t="s">
        <v>470</v>
      </c>
      <c r="C180" s="26" t="s">
        <v>483</v>
      </c>
      <c r="D180" s="194" t="s">
        <v>353</v>
      </c>
      <c r="E180" s="194"/>
      <c r="F180" s="26" t="s">
        <v>423</v>
      </c>
      <c r="G180" s="5">
        <v>24.467900000000004</v>
      </c>
      <c r="H180" s="29">
        <v>0</v>
      </c>
    </row>
    <row r="181" spans="1:8" ht="15" customHeight="1">
      <c r="A181" s="12"/>
      <c r="D181" s="68" t="s">
        <v>265</v>
      </c>
      <c r="E181" s="258" t="s">
        <v>62</v>
      </c>
      <c r="F181" s="258"/>
      <c r="G181" s="48">
        <v>24.467900000000004</v>
      </c>
      <c r="H181" s="50"/>
    </row>
    <row r="182" spans="1:8" ht="15" customHeight="1">
      <c r="A182" s="35" t="s">
        <v>178</v>
      </c>
      <c r="B182" s="26" t="s">
        <v>470</v>
      </c>
      <c r="C182" s="26" t="s">
        <v>58</v>
      </c>
      <c r="D182" s="194" t="s">
        <v>395</v>
      </c>
      <c r="E182" s="194"/>
      <c r="F182" s="26" t="s">
        <v>423</v>
      </c>
      <c r="G182" s="5">
        <v>273.13300000000004</v>
      </c>
      <c r="H182" s="29">
        <v>0</v>
      </c>
    </row>
    <row r="183" spans="1:8" ht="15" customHeight="1">
      <c r="A183" s="12"/>
      <c r="D183" s="68" t="s">
        <v>247</v>
      </c>
      <c r="E183" s="258" t="s">
        <v>315</v>
      </c>
      <c r="F183" s="258"/>
      <c r="G183" s="48">
        <v>239.8</v>
      </c>
      <c r="H183" s="50"/>
    </row>
    <row r="184" spans="1:8" ht="15" customHeight="1">
      <c r="A184" s="35" t="s">
        <v>293</v>
      </c>
      <c r="B184" s="26" t="s">
        <v>293</v>
      </c>
      <c r="C184" s="26" t="s">
        <v>293</v>
      </c>
      <c r="D184" s="68" t="s">
        <v>191</v>
      </c>
      <c r="E184" s="258" t="s">
        <v>232</v>
      </c>
      <c r="F184" s="258"/>
      <c r="G184" s="48">
        <v>33.333000000000006</v>
      </c>
      <c r="H184" s="56" t="s">
        <v>293</v>
      </c>
    </row>
    <row r="185" spans="1:8" ht="15" customHeight="1">
      <c r="A185" s="35" t="s">
        <v>176</v>
      </c>
      <c r="B185" s="26" t="s">
        <v>470</v>
      </c>
      <c r="C185" s="26" t="s">
        <v>83</v>
      </c>
      <c r="D185" s="194" t="s">
        <v>301</v>
      </c>
      <c r="E185" s="194"/>
      <c r="F185" s="26" t="s">
        <v>194</v>
      </c>
      <c r="G185" s="5">
        <v>1.2524700000000002</v>
      </c>
      <c r="H185" s="29">
        <v>0</v>
      </c>
    </row>
    <row r="186" spans="1:8" ht="15" customHeight="1">
      <c r="A186" s="35" t="s">
        <v>196</v>
      </c>
      <c r="B186" s="26" t="s">
        <v>470</v>
      </c>
      <c r="C186" s="26" t="s">
        <v>323</v>
      </c>
      <c r="D186" s="194" t="s">
        <v>3</v>
      </c>
      <c r="E186" s="194"/>
      <c r="F186" s="26" t="s">
        <v>102</v>
      </c>
      <c r="G186" s="5">
        <v>4</v>
      </c>
      <c r="H186" s="29">
        <v>0</v>
      </c>
    </row>
    <row r="187" spans="1:8" ht="15" customHeight="1">
      <c r="A187" s="12"/>
      <c r="D187" s="68" t="s">
        <v>46</v>
      </c>
      <c r="E187" s="258" t="s">
        <v>17</v>
      </c>
      <c r="F187" s="258"/>
      <c r="G187" s="48">
        <v>4</v>
      </c>
      <c r="H187" s="50"/>
    </row>
    <row r="188" spans="1:8" ht="15" customHeight="1">
      <c r="A188" s="35" t="s">
        <v>399</v>
      </c>
      <c r="B188" s="26" t="s">
        <v>470</v>
      </c>
      <c r="C188" s="26" t="s">
        <v>295</v>
      </c>
      <c r="D188" s="194" t="s">
        <v>186</v>
      </c>
      <c r="E188" s="194"/>
      <c r="F188" s="26" t="s">
        <v>102</v>
      </c>
      <c r="G188" s="5">
        <v>3.0000000000000004</v>
      </c>
      <c r="H188" s="29">
        <v>0</v>
      </c>
    </row>
    <row r="189" spans="1:8" ht="15" customHeight="1">
      <c r="A189" s="12"/>
      <c r="D189" s="68" t="s">
        <v>429</v>
      </c>
      <c r="E189" s="258" t="s">
        <v>17</v>
      </c>
      <c r="F189" s="258"/>
      <c r="G189" s="48">
        <v>1</v>
      </c>
      <c r="H189" s="50"/>
    </row>
    <row r="190" spans="1:8" ht="15" customHeight="1">
      <c r="A190" s="35" t="s">
        <v>293</v>
      </c>
      <c r="B190" s="26" t="s">
        <v>293</v>
      </c>
      <c r="C190" s="26" t="s">
        <v>293</v>
      </c>
      <c r="D190" s="68" t="s">
        <v>429</v>
      </c>
      <c r="E190" s="258" t="s">
        <v>357</v>
      </c>
      <c r="F190" s="258"/>
      <c r="G190" s="48">
        <v>1</v>
      </c>
      <c r="H190" s="56" t="s">
        <v>293</v>
      </c>
    </row>
    <row r="191" spans="1:8" ht="15" customHeight="1">
      <c r="A191" s="35" t="s">
        <v>293</v>
      </c>
      <c r="B191" s="26" t="s">
        <v>293</v>
      </c>
      <c r="C191" s="26" t="s">
        <v>293</v>
      </c>
      <c r="D191" s="68" t="s">
        <v>429</v>
      </c>
      <c r="E191" s="258" t="s">
        <v>80</v>
      </c>
      <c r="F191" s="258"/>
      <c r="G191" s="48">
        <v>1</v>
      </c>
      <c r="H191" s="56" t="s">
        <v>293</v>
      </c>
    </row>
    <row r="192" spans="1:8" ht="15" customHeight="1">
      <c r="A192" s="35" t="s">
        <v>279</v>
      </c>
      <c r="B192" s="26" t="s">
        <v>470</v>
      </c>
      <c r="C192" s="26" t="s">
        <v>127</v>
      </c>
      <c r="D192" s="194" t="s">
        <v>180</v>
      </c>
      <c r="E192" s="194"/>
      <c r="F192" s="26" t="s">
        <v>102</v>
      </c>
      <c r="G192" s="5">
        <v>2</v>
      </c>
      <c r="H192" s="29">
        <v>0</v>
      </c>
    </row>
    <row r="193" spans="1:8" ht="15" customHeight="1">
      <c r="A193" s="12"/>
      <c r="D193" s="68" t="s">
        <v>291</v>
      </c>
      <c r="E193" s="258" t="s">
        <v>375</v>
      </c>
      <c r="F193" s="258"/>
      <c r="G193" s="48">
        <v>2</v>
      </c>
      <c r="H193" s="50"/>
    </row>
    <row r="194" spans="1:8" ht="15" customHeight="1">
      <c r="A194" s="35" t="s">
        <v>266</v>
      </c>
      <c r="B194" s="26" t="s">
        <v>470</v>
      </c>
      <c r="C194" s="26" t="s">
        <v>179</v>
      </c>
      <c r="D194" s="194" t="s">
        <v>12</v>
      </c>
      <c r="E194" s="194"/>
      <c r="F194" s="26" t="s">
        <v>423</v>
      </c>
      <c r="G194" s="5">
        <v>273.13300000000004</v>
      </c>
      <c r="H194" s="29">
        <v>0</v>
      </c>
    </row>
    <row r="195" spans="1:8" ht="15" customHeight="1">
      <c r="A195" s="12"/>
      <c r="D195" s="68" t="s">
        <v>247</v>
      </c>
      <c r="E195" s="258" t="s">
        <v>315</v>
      </c>
      <c r="F195" s="258"/>
      <c r="G195" s="48">
        <v>239.8</v>
      </c>
      <c r="H195" s="50"/>
    </row>
    <row r="196" spans="1:8" ht="15" customHeight="1">
      <c r="A196" s="35" t="s">
        <v>293</v>
      </c>
      <c r="B196" s="26" t="s">
        <v>293</v>
      </c>
      <c r="C196" s="26" t="s">
        <v>293</v>
      </c>
      <c r="D196" s="68" t="s">
        <v>191</v>
      </c>
      <c r="E196" s="258" t="s">
        <v>232</v>
      </c>
      <c r="F196" s="258"/>
      <c r="G196" s="48">
        <v>33.333000000000006</v>
      </c>
      <c r="H196" s="56" t="s">
        <v>293</v>
      </c>
    </row>
    <row r="197" spans="1:8" ht="15" customHeight="1">
      <c r="A197" s="35" t="s">
        <v>408</v>
      </c>
      <c r="B197" s="26" t="s">
        <v>470</v>
      </c>
      <c r="C197" s="26" t="s">
        <v>159</v>
      </c>
      <c r="D197" s="194" t="s">
        <v>404</v>
      </c>
      <c r="E197" s="194"/>
      <c r="F197" s="26" t="s">
        <v>194</v>
      </c>
      <c r="G197" s="5">
        <v>5.46626</v>
      </c>
      <c r="H197" s="29">
        <v>0</v>
      </c>
    </row>
    <row r="198" spans="1:8" ht="15" customHeight="1">
      <c r="A198" s="35" t="s">
        <v>239</v>
      </c>
      <c r="B198" s="26" t="s">
        <v>470</v>
      </c>
      <c r="C198" s="26" t="s">
        <v>78</v>
      </c>
      <c r="D198" s="194" t="s">
        <v>228</v>
      </c>
      <c r="E198" s="194"/>
      <c r="F198" s="26" t="s">
        <v>423</v>
      </c>
      <c r="G198" s="5">
        <v>7.0920000000000005</v>
      </c>
      <c r="H198" s="29">
        <v>0</v>
      </c>
    </row>
    <row r="199" spans="1:8" ht="15" customHeight="1">
      <c r="A199" s="12"/>
      <c r="D199" s="68" t="s">
        <v>430</v>
      </c>
      <c r="E199" s="258" t="s">
        <v>17</v>
      </c>
      <c r="F199" s="258"/>
      <c r="G199" s="48">
        <v>7.0920000000000005</v>
      </c>
      <c r="H199" s="50"/>
    </row>
    <row r="200" spans="1:8" ht="15" customHeight="1">
      <c r="A200" s="35" t="s">
        <v>192</v>
      </c>
      <c r="B200" s="26" t="s">
        <v>470</v>
      </c>
      <c r="C200" s="26" t="s">
        <v>234</v>
      </c>
      <c r="D200" s="194" t="s">
        <v>371</v>
      </c>
      <c r="E200" s="194"/>
      <c r="F200" s="26" t="s">
        <v>423</v>
      </c>
      <c r="G200" s="5">
        <v>9.265500000000001</v>
      </c>
      <c r="H200" s="29">
        <v>0</v>
      </c>
    </row>
    <row r="201" spans="1:8" ht="15" customHeight="1">
      <c r="A201" s="12"/>
      <c r="D201" s="68" t="s">
        <v>108</v>
      </c>
      <c r="E201" s="258" t="s">
        <v>17</v>
      </c>
      <c r="F201" s="258"/>
      <c r="G201" s="48">
        <v>3.0885000000000002</v>
      </c>
      <c r="H201" s="50"/>
    </row>
    <row r="202" spans="1:8" ht="15" customHeight="1">
      <c r="A202" s="35" t="s">
        <v>293</v>
      </c>
      <c r="B202" s="26" t="s">
        <v>293</v>
      </c>
      <c r="C202" s="26" t="s">
        <v>293</v>
      </c>
      <c r="D202" s="68" t="s">
        <v>108</v>
      </c>
      <c r="E202" s="258" t="s">
        <v>357</v>
      </c>
      <c r="F202" s="258"/>
      <c r="G202" s="48">
        <v>3.0885000000000002</v>
      </c>
      <c r="H202" s="56" t="s">
        <v>293</v>
      </c>
    </row>
    <row r="203" spans="1:8" ht="15" customHeight="1">
      <c r="A203" s="35" t="s">
        <v>293</v>
      </c>
      <c r="B203" s="26" t="s">
        <v>293</v>
      </c>
      <c r="C203" s="26" t="s">
        <v>293</v>
      </c>
      <c r="D203" s="68" t="s">
        <v>108</v>
      </c>
      <c r="E203" s="258" t="s">
        <v>80</v>
      </c>
      <c r="F203" s="258"/>
      <c r="G203" s="48">
        <v>3.0885000000000002</v>
      </c>
      <c r="H203" s="56" t="s">
        <v>293</v>
      </c>
    </row>
    <row r="204" spans="1:8" ht="15" customHeight="1">
      <c r="A204" s="35" t="s">
        <v>48</v>
      </c>
      <c r="B204" s="26" t="s">
        <v>470</v>
      </c>
      <c r="C204" s="26" t="s">
        <v>54</v>
      </c>
      <c r="D204" s="194" t="s">
        <v>351</v>
      </c>
      <c r="E204" s="194"/>
      <c r="F204" s="26" t="s">
        <v>358</v>
      </c>
      <c r="G204" s="5">
        <v>7.000000000000001</v>
      </c>
      <c r="H204" s="29">
        <v>0</v>
      </c>
    </row>
    <row r="205" spans="1:8" ht="15" customHeight="1">
      <c r="A205" s="12"/>
      <c r="D205" s="68" t="s">
        <v>326</v>
      </c>
      <c r="E205" s="258" t="s">
        <v>17</v>
      </c>
      <c r="F205" s="258"/>
      <c r="G205" s="48">
        <v>2</v>
      </c>
      <c r="H205" s="50"/>
    </row>
    <row r="206" spans="1:8" ht="15" customHeight="1">
      <c r="A206" s="35" t="s">
        <v>293</v>
      </c>
      <c r="B206" s="26" t="s">
        <v>293</v>
      </c>
      <c r="C206" s="26" t="s">
        <v>293</v>
      </c>
      <c r="D206" s="68" t="s">
        <v>326</v>
      </c>
      <c r="E206" s="258" t="s">
        <v>357</v>
      </c>
      <c r="F206" s="258"/>
      <c r="G206" s="48">
        <v>2</v>
      </c>
      <c r="H206" s="56" t="s">
        <v>293</v>
      </c>
    </row>
    <row r="207" spans="1:8" ht="15" customHeight="1">
      <c r="A207" s="35" t="s">
        <v>293</v>
      </c>
      <c r="B207" s="26" t="s">
        <v>293</v>
      </c>
      <c r="C207" s="26" t="s">
        <v>293</v>
      </c>
      <c r="D207" s="68" t="s">
        <v>69</v>
      </c>
      <c r="E207" s="258" t="s">
        <v>80</v>
      </c>
      <c r="F207" s="258"/>
      <c r="G207" s="48">
        <v>3.0000000000000004</v>
      </c>
      <c r="H207" s="56" t="s">
        <v>293</v>
      </c>
    </row>
    <row r="208" spans="1:8" ht="15" customHeight="1">
      <c r="A208" s="35" t="s">
        <v>312</v>
      </c>
      <c r="B208" s="26" t="s">
        <v>470</v>
      </c>
      <c r="C208" s="26" t="s">
        <v>298</v>
      </c>
      <c r="D208" s="194" t="s">
        <v>193</v>
      </c>
      <c r="E208" s="194"/>
      <c r="F208" s="26" t="s">
        <v>423</v>
      </c>
      <c r="G208" s="5">
        <v>7.488</v>
      </c>
      <c r="H208" s="29">
        <v>0</v>
      </c>
    </row>
    <row r="209" spans="1:8" ht="15" customHeight="1">
      <c r="A209" s="12"/>
      <c r="D209" s="68" t="s">
        <v>88</v>
      </c>
      <c r="E209" s="258" t="s">
        <v>17</v>
      </c>
      <c r="F209" s="258"/>
      <c r="G209" s="48">
        <v>4.32</v>
      </c>
      <c r="H209" s="50"/>
    </row>
    <row r="210" spans="1:8" ht="15" customHeight="1">
      <c r="A210" s="35" t="s">
        <v>293</v>
      </c>
      <c r="B210" s="26" t="s">
        <v>293</v>
      </c>
      <c r="C210" s="26" t="s">
        <v>293</v>
      </c>
      <c r="D210" s="68" t="s">
        <v>287</v>
      </c>
      <c r="E210" s="258" t="s">
        <v>357</v>
      </c>
      <c r="F210" s="258"/>
      <c r="G210" s="48">
        <v>3.168</v>
      </c>
      <c r="H210" s="56" t="s">
        <v>293</v>
      </c>
    </row>
    <row r="211" spans="1:8" ht="15" customHeight="1">
      <c r="A211" s="35" t="s">
        <v>479</v>
      </c>
      <c r="B211" s="26" t="s">
        <v>470</v>
      </c>
      <c r="C211" s="26" t="s">
        <v>435</v>
      </c>
      <c r="D211" s="194" t="s">
        <v>209</v>
      </c>
      <c r="E211" s="194"/>
      <c r="F211" s="26" t="s">
        <v>423</v>
      </c>
      <c r="G211" s="5">
        <v>7.6000000000000005</v>
      </c>
      <c r="H211" s="29">
        <v>0</v>
      </c>
    </row>
    <row r="212" spans="1:8" ht="15" customHeight="1">
      <c r="A212" s="12"/>
      <c r="D212" s="68" t="s">
        <v>174</v>
      </c>
      <c r="E212" s="258" t="s">
        <v>80</v>
      </c>
      <c r="F212" s="258"/>
      <c r="G212" s="48">
        <v>7.6000000000000005</v>
      </c>
      <c r="H212" s="50"/>
    </row>
    <row r="213" spans="1:8" ht="15" customHeight="1">
      <c r="A213" s="35" t="s">
        <v>91</v>
      </c>
      <c r="B213" s="26" t="s">
        <v>470</v>
      </c>
      <c r="C213" s="26" t="s">
        <v>142</v>
      </c>
      <c r="D213" s="194" t="s">
        <v>123</v>
      </c>
      <c r="E213" s="194"/>
      <c r="F213" s="26" t="s">
        <v>194</v>
      </c>
      <c r="G213" s="5">
        <v>1.43642</v>
      </c>
      <c r="H213" s="29">
        <v>0</v>
      </c>
    </row>
    <row r="214" spans="1:8" ht="15" customHeight="1">
      <c r="A214" s="35" t="s">
        <v>205</v>
      </c>
      <c r="B214" s="26" t="s">
        <v>470</v>
      </c>
      <c r="C214" s="26" t="s">
        <v>172</v>
      </c>
      <c r="D214" s="194" t="s">
        <v>285</v>
      </c>
      <c r="E214" s="194"/>
      <c r="F214" s="26" t="s">
        <v>194</v>
      </c>
      <c r="G214" s="5">
        <v>60.388070000000006</v>
      </c>
      <c r="H214" s="29">
        <v>0</v>
      </c>
    </row>
    <row r="215" spans="1:8" ht="15" customHeight="1">
      <c r="A215" s="35" t="s">
        <v>475</v>
      </c>
      <c r="B215" s="26" t="s">
        <v>470</v>
      </c>
      <c r="C215" s="26" t="s">
        <v>278</v>
      </c>
      <c r="D215" s="194" t="s">
        <v>185</v>
      </c>
      <c r="E215" s="194"/>
      <c r="F215" s="26" t="s">
        <v>194</v>
      </c>
      <c r="G215" s="5">
        <v>7176.26115</v>
      </c>
      <c r="H215" s="29">
        <v>0</v>
      </c>
    </row>
    <row r="216" spans="1:8" ht="15" customHeight="1">
      <c r="A216" s="12"/>
      <c r="D216" s="68" t="s">
        <v>73</v>
      </c>
      <c r="E216" s="258" t="s">
        <v>293</v>
      </c>
      <c r="F216" s="258"/>
      <c r="G216" s="48">
        <v>7176.26115</v>
      </c>
      <c r="H216" s="50"/>
    </row>
    <row r="217" spans="1:8" ht="15" customHeight="1">
      <c r="A217" s="35" t="s">
        <v>454</v>
      </c>
      <c r="B217" s="26" t="s">
        <v>470</v>
      </c>
      <c r="C217" s="26" t="s">
        <v>306</v>
      </c>
      <c r="D217" s="194" t="s">
        <v>317</v>
      </c>
      <c r="E217" s="194"/>
      <c r="F217" s="26" t="s">
        <v>194</v>
      </c>
      <c r="G217" s="5">
        <v>60.388070000000006</v>
      </c>
      <c r="H217" s="29">
        <v>0</v>
      </c>
    </row>
    <row r="218" spans="1:8" ht="15" customHeight="1">
      <c r="A218" s="35" t="s">
        <v>5</v>
      </c>
      <c r="B218" s="26" t="s">
        <v>470</v>
      </c>
      <c r="C218" s="26" t="s">
        <v>464</v>
      </c>
      <c r="D218" s="194" t="s">
        <v>79</v>
      </c>
      <c r="E218" s="194"/>
      <c r="F218" s="26" t="s">
        <v>194</v>
      </c>
      <c r="G218" s="5">
        <v>956.83482</v>
      </c>
      <c r="H218" s="29">
        <v>0</v>
      </c>
    </row>
    <row r="219" spans="1:8" ht="15" customHeight="1">
      <c r="A219" s="12"/>
      <c r="D219" s="68" t="s">
        <v>409</v>
      </c>
      <c r="E219" s="258" t="s">
        <v>293</v>
      </c>
      <c r="F219" s="258"/>
      <c r="G219" s="48">
        <v>956.83482</v>
      </c>
      <c r="H219" s="50"/>
    </row>
    <row r="220" spans="1:8" ht="15" customHeight="1">
      <c r="A220" s="35" t="s">
        <v>68</v>
      </c>
      <c r="B220" s="26" t="s">
        <v>470</v>
      </c>
      <c r="C220" s="26" t="s">
        <v>462</v>
      </c>
      <c r="D220" s="194" t="s">
        <v>378</v>
      </c>
      <c r="E220" s="194"/>
      <c r="F220" s="26" t="s">
        <v>194</v>
      </c>
      <c r="G220" s="5">
        <v>60.388070000000006</v>
      </c>
      <c r="H220" s="29">
        <v>0</v>
      </c>
    </row>
    <row r="221" spans="1:8" ht="15" customHeight="1">
      <c r="A221" s="44" t="s">
        <v>293</v>
      </c>
      <c r="B221" s="61" t="s">
        <v>414</v>
      </c>
      <c r="C221" s="61" t="s">
        <v>293</v>
      </c>
      <c r="D221" s="256" t="s">
        <v>421</v>
      </c>
      <c r="E221" s="256"/>
      <c r="F221" s="61" t="s">
        <v>293</v>
      </c>
      <c r="G221" s="4" t="s">
        <v>293</v>
      </c>
      <c r="H221" s="55" t="s">
        <v>293</v>
      </c>
    </row>
    <row r="222" spans="1:8" ht="15" customHeight="1">
      <c r="A222" s="44" t="s">
        <v>293</v>
      </c>
      <c r="B222" s="61" t="s">
        <v>414</v>
      </c>
      <c r="C222" s="61" t="s">
        <v>300</v>
      </c>
      <c r="D222" s="256" t="s">
        <v>143</v>
      </c>
      <c r="E222" s="256"/>
      <c r="F222" s="61" t="s">
        <v>293</v>
      </c>
      <c r="G222" s="4" t="s">
        <v>293</v>
      </c>
      <c r="H222" s="55" t="s">
        <v>293</v>
      </c>
    </row>
    <row r="223" spans="1:8" ht="15" customHeight="1">
      <c r="A223" s="35" t="s">
        <v>84</v>
      </c>
      <c r="B223" s="26" t="s">
        <v>414</v>
      </c>
      <c r="C223" s="26" t="s">
        <v>202</v>
      </c>
      <c r="D223" s="194" t="s">
        <v>325</v>
      </c>
      <c r="E223" s="194"/>
      <c r="F223" s="26" t="s">
        <v>330</v>
      </c>
      <c r="G223" s="5">
        <v>1</v>
      </c>
      <c r="H223" s="29">
        <v>0</v>
      </c>
    </row>
    <row r="224" spans="1:8" ht="15" customHeight="1">
      <c r="A224" s="25"/>
      <c r="B224" s="64"/>
      <c r="C224" s="64"/>
      <c r="D224" s="19" t="s">
        <v>429</v>
      </c>
      <c r="E224" s="259" t="s">
        <v>293</v>
      </c>
      <c r="F224" s="259"/>
      <c r="G224" s="36">
        <v>1</v>
      </c>
      <c r="H224" s="18"/>
    </row>
    <row r="226" ht="15" customHeight="1">
      <c r="A226" s="2" t="s">
        <v>31</v>
      </c>
    </row>
    <row r="227" spans="1:7" ht="40.5" customHeight="1">
      <c r="A227" s="199" t="s">
        <v>255</v>
      </c>
      <c r="B227" s="194"/>
      <c r="C227" s="194"/>
      <c r="D227" s="194"/>
      <c r="E227" s="194"/>
      <c r="F227" s="194"/>
      <c r="G227" s="194"/>
    </row>
  </sheetData>
  <mergeCells count="233">
    <mergeCell ref="D220:E220"/>
    <mergeCell ref="D221:E221"/>
    <mergeCell ref="D222:E222"/>
    <mergeCell ref="D223:E223"/>
    <mergeCell ref="E224:F224"/>
    <mergeCell ref="A227:G227"/>
    <mergeCell ref="D214:E214"/>
    <mergeCell ref="D215:E215"/>
    <mergeCell ref="E216:F216"/>
    <mergeCell ref="D217:E217"/>
    <mergeCell ref="D218:E218"/>
    <mergeCell ref="E219:F219"/>
    <mergeCell ref="D208:E208"/>
    <mergeCell ref="E209:F209"/>
    <mergeCell ref="E210:F210"/>
    <mergeCell ref="D211:E211"/>
    <mergeCell ref="E212:F212"/>
    <mergeCell ref="D213:E213"/>
    <mergeCell ref="E202:F202"/>
    <mergeCell ref="E203:F203"/>
    <mergeCell ref="D204:E204"/>
    <mergeCell ref="E205:F205"/>
    <mergeCell ref="E206:F206"/>
    <mergeCell ref="E207:F207"/>
    <mergeCell ref="E196:F196"/>
    <mergeCell ref="D197:E197"/>
    <mergeCell ref="D198:E198"/>
    <mergeCell ref="E199:F199"/>
    <mergeCell ref="D200:E200"/>
    <mergeCell ref="E201:F201"/>
    <mergeCell ref="E190:F190"/>
    <mergeCell ref="E191:F191"/>
    <mergeCell ref="D192:E192"/>
    <mergeCell ref="E193:F193"/>
    <mergeCell ref="D194:E194"/>
    <mergeCell ref="E195:F195"/>
    <mergeCell ref="E184:F184"/>
    <mergeCell ref="D185:E185"/>
    <mergeCell ref="D186:E186"/>
    <mergeCell ref="E187:F187"/>
    <mergeCell ref="D188:E188"/>
    <mergeCell ref="E189:F189"/>
    <mergeCell ref="E178:F178"/>
    <mergeCell ref="D179:E179"/>
    <mergeCell ref="D180:E180"/>
    <mergeCell ref="E181:F181"/>
    <mergeCell ref="D182:E182"/>
    <mergeCell ref="E183:F183"/>
    <mergeCell ref="E172:F172"/>
    <mergeCell ref="E173:F173"/>
    <mergeCell ref="E174:F174"/>
    <mergeCell ref="E175:F175"/>
    <mergeCell ref="D176:E176"/>
    <mergeCell ref="E177:F177"/>
    <mergeCell ref="E166:F166"/>
    <mergeCell ref="D167:E167"/>
    <mergeCell ref="D168:E168"/>
    <mergeCell ref="D169:E169"/>
    <mergeCell ref="E170:F170"/>
    <mergeCell ref="E171:F171"/>
    <mergeCell ref="D160:E160"/>
    <mergeCell ref="D161:E161"/>
    <mergeCell ref="E162:F162"/>
    <mergeCell ref="E163:F163"/>
    <mergeCell ref="D164:E164"/>
    <mergeCell ref="D165:E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D152:E152"/>
    <mergeCell ref="E153:F153"/>
    <mergeCell ref="E142:F142"/>
    <mergeCell ref="E143:F143"/>
    <mergeCell ref="D144:E144"/>
    <mergeCell ref="E145:F145"/>
    <mergeCell ref="E146:F146"/>
    <mergeCell ref="E147:F147"/>
    <mergeCell ref="D136:E136"/>
    <mergeCell ref="E137:F137"/>
    <mergeCell ref="E138:F138"/>
    <mergeCell ref="E139:F139"/>
    <mergeCell ref="E140:F140"/>
    <mergeCell ref="E141:F141"/>
    <mergeCell ref="D130:E130"/>
    <mergeCell ref="E131:F131"/>
    <mergeCell ref="E132:F132"/>
    <mergeCell ref="D133:E133"/>
    <mergeCell ref="E134:F134"/>
    <mergeCell ref="E135:F135"/>
    <mergeCell ref="E124:F124"/>
    <mergeCell ref="D125:E125"/>
    <mergeCell ref="E126:F126"/>
    <mergeCell ref="D127:E127"/>
    <mergeCell ref="E128:F128"/>
    <mergeCell ref="E129:F129"/>
    <mergeCell ref="E118:F118"/>
    <mergeCell ref="D119:E119"/>
    <mergeCell ref="E120:F120"/>
    <mergeCell ref="D121:E121"/>
    <mergeCell ref="D122:E122"/>
    <mergeCell ref="E123:F123"/>
    <mergeCell ref="E112:F112"/>
    <mergeCell ref="D113:E113"/>
    <mergeCell ref="E114:F114"/>
    <mergeCell ref="D115:E115"/>
    <mergeCell ref="E116:F116"/>
    <mergeCell ref="D117:E117"/>
    <mergeCell ref="E106:F106"/>
    <mergeCell ref="E107:F107"/>
    <mergeCell ref="E108:F108"/>
    <mergeCell ref="D109:E109"/>
    <mergeCell ref="E110:F110"/>
    <mergeCell ref="E111:F111"/>
    <mergeCell ref="D100:E100"/>
    <mergeCell ref="D101:E101"/>
    <mergeCell ref="E102:F102"/>
    <mergeCell ref="E103:F103"/>
    <mergeCell ref="E104:F104"/>
    <mergeCell ref="D105:E105"/>
    <mergeCell ref="E94:F94"/>
    <mergeCell ref="E95:F95"/>
    <mergeCell ref="E96:F96"/>
    <mergeCell ref="E97:F97"/>
    <mergeCell ref="D98:E98"/>
    <mergeCell ref="E99:F99"/>
    <mergeCell ref="E88:F88"/>
    <mergeCell ref="E89:F89"/>
    <mergeCell ref="D90:E90"/>
    <mergeCell ref="E91:F91"/>
    <mergeCell ref="E92:F92"/>
    <mergeCell ref="E93:F93"/>
    <mergeCell ref="E82:F82"/>
    <mergeCell ref="D83:E83"/>
    <mergeCell ref="E84:F84"/>
    <mergeCell ref="E85:F85"/>
    <mergeCell ref="D86:E86"/>
    <mergeCell ref="E87:F87"/>
    <mergeCell ref="E76:F76"/>
    <mergeCell ref="D77:E77"/>
    <mergeCell ref="E78:F78"/>
    <mergeCell ref="D79:E79"/>
    <mergeCell ref="D80:E80"/>
    <mergeCell ref="E81:F81"/>
    <mergeCell ref="D70:E70"/>
    <mergeCell ref="E71:F71"/>
    <mergeCell ref="D72:E72"/>
    <mergeCell ref="D73:E73"/>
    <mergeCell ref="E74:F74"/>
    <mergeCell ref="D75:E75"/>
    <mergeCell ref="D64:E64"/>
    <mergeCell ref="E65:F65"/>
    <mergeCell ref="D66:E66"/>
    <mergeCell ref="E67:F67"/>
    <mergeCell ref="D68:E68"/>
    <mergeCell ref="E69:F69"/>
    <mergeCell ref="E58:F58"/>
    <mergeCell ref="D59:E59"/>
    <mergeCell ref="E60:F60"/>
    <mergeCell ref="D61:E61"/>
    <mergeCell ref="D62:E62"/>
    <mergeCell ref="E63:F63"/>
    <mergeCell ref="E52:F52"/>
    <mergeCell ref="D53:E53"/>
    <mergeCell ref="E54:F54"/>
    <mergeCell ref="D55:E55"/>
    <mergeCell ref="D56:E56"/>
    <mergeCell ref="E57:F57"/>
    <mergeCell ref="D46:E46"/>
    <mergeCell ref="E47:F47"/>
    <mergeCell ref="D48:E48"/>
    <mergeCell ref="D49:E49"/>
    <mergeCell ref="E50:F50"/>
    <mergeCell ref="E51:F51"/>
    <mergeCell ref="E40:F40"/>
    <mergeCell ref="E41:F41"/>
    <mergeCell ref="E42:F42"/>
    <mergeCell ref="D43:E43"/>
    <mergeCell ref="E44:F44"/>
    <mergeCell ref="E45:F45"/>
    <mergeCell ref="D34:E34"/>
    <mergeCell ref="D35:E35"/>
    <mergeCell ref="D36:E36"/>
    <mergeCell ref="E37:F37"/>
    <mergeCell ref="E38:F38"/>
    <mergeCell ref="D39:E39"/>
    <mergeCell ref="E28:F28"/>
    <mergeCell ref="E29:F29"/>
    <mergeCell ref="D30:E30"/>
    <mergeCell ref="E31:F31"/>
    <mergeCell ref="E32:F32"/>
    <mergeCell ref="E33:F33"/>
    <mergeCell ref="D22:E22"/>
    <mergeCell ref="E23:F23"/>
    <mergeCell ref="E24:F24"/>
    <mergeCell ref="E25:F25"/>
    <mergeCell ref="D26:E26"/>
    <mergeCell ref="D27:E27"/>
    <mergeCell ref="E16:F16"/>
    <mergeCell ref="D17:E17"/>
    <mergeCell ref="D18:E18"/>
    <mergeCell ref="E19:F19"/>
    <mergeCell ref="E20:F20"/>
    <mergeCell ref="E21:F21"/>
    <mergeCell ref="D10:E10"/>
    <mergeCell ref="D11:E11"/>
    <mergeCell ref="D12:E12"/>
    <mergeCell ref="D13:E13"/>
    <mergeCell ref="E14:F14"/>
    <mergeCell ref="D15:E15"/>
    <mergeCell ref="C4:D5"/>
    <mergeCell ref="C6:D7"/>
    <mergeCell ref="C8:D9"/>
    <mergeCell ref="F2:H3"/>
    <mergeCell ref="F4:H5"/>
    <mergeCell ref="F6:H7"/>
    <mergeCell ref="F8:H9"/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O24" sqref="N24:O24"/>
    </sheetView>
  </sheetViews>
  <sheetFormatPr defaultColWidth="11.16015625" defaultRowHeight="15"/>
  <cols>
    <col min="1" max="1" width="8.16015625" style="79" customWidth="1"/>
    <col min="2" max="2" width="12.66015625" style="79" customWidth="1"/>
    <col min="3" max="3" width="47.5" style="79" customWidth="1"/>
    <col min="4" max="5" width="9.33203125" style="79" customWidth="1"/>
    <col min="6" max="6" width="11.16015625" style="79" customWidth="1"/>
    <col min="7" max="7" width="10.83203125" style="79" customWidth="1"/>
    <col min="8" max="8" width="15.5" style="79" customWidth="1"/>
    <col min="9" max="16384" width="11.16015625" style="79" customWidth="1"/>
  </cols>
  <sheetData>
    <row r="1" spans="1:2" ht="15">
      <c r="A1" s="79" t="s">
        <v>485</v>
      </c>
      <c r="B1" s="79" t="s">
        <v>486</v>
      </c>
    </row>
    <row r="2" spans="1:2" ht="15">
      <c r="A2" s="79" t="s">
        <v>487</v>
      </c>
      <c r="B2" s="79" t="s">
        <v>488</v>
      </c>
    </row>
    <row r="4" spans="1:8" ht="15">
      <c r="A4" s="80"/>
      <c r="B4" s="81"/>
      <c r="C4" s="82"/>
      <c r="D4" s="81"/>
      <c r="E4" s="81"/>
      <c r="F4" s="260" t="s">
        <v>489</v>
      </c>
      <c r="G4" s="260"/>
      <c r="H4" s="83"/>
    </row>
    <row r="5" spans="1:8" ht="13.5" customHeight="1" thickBot="1">
      <c r="A5" s="84" t="s">
        <v>490</v>
      </c>
      <c r="B5" s="85" t="s">
        <v>491</v>
      </c>
      <c r="C5" s="86" t="s">
        <v>492</v>
      </c>
      <c r="D5" s="87" t="s">
        <v>145</v>
      </c>
      <c r="E5" s="87" t="s">
        <v>493</v>
      </c>
      <c r="F5" s="87" t="s">
        <v>494</v>
      </c>
      <c r="G5" s="88" t="s">
        <v>495</v>
      </c>
      <c r="H5" s="89" t="s">
        <v>496</v>
      </c>
    </row>
    <row r="6" spans="1:8" ht="15">
      <c r="A6" s="90"/>
      <c r="B6" s="91"/>
      <c r="C6" s="92"/>
      <c r="D6" s="91"/>
      <c r="E6" s="91"/>
      <c r="F6" s="91"/>
      <c r="G6" s="93"/>
      <c r="H6" s="94"/>
    </row>
    <row r="7" spans="1:8" ht="15">
      <c r="A7" s="95" t="s">
        <v>497</v>
      </c>
      <c r="B7" s="96"/>
      <c r="C7" s="97"/>
      <c r="D7" s="96"/>
      <c r="E7" s="96"/>
      <c r="F7" s="96"/>
      <c r="G7" s="96"/>
      <c r="H7" s="98"/>
    </row>
    <row r="8" spans="1:8" ht="15">
      <c r="A8" s="99"/>
      <c r="B8" s="96"/>
      <c r="C8" s="97"/>
      <c r="D8" s="96"/>
      <c r="E8" s="96"/>
      <c r="F8" s="96"/>
      <c r="G8" s="96"/>
      <c r="H8" s="98"/>
    </row>
    <row r="9" spans="1:8" ht="15">
      <c r="A9" s="99" t="s">
        <v>498</v>
      </c>
      <c r="B9" s="100" t="s">
        <v>499</v>
      </c>
      <c r="C9" s="97" t="s">
        <v>500</v>
      </c>
      <c r="D9" s="96" t="s">
        <v>102</v>
      </c>
      <c r="E9" s="96">
        <v>1</v>
      </c>
      <c r="F9" s="96">
        <v>0</v>
      </c>
      <c r="G9" s="96">
        <f>E9*F9</f>
        <v>0</v>
      </c>
      <c r="H9" s="98" t="s">
        <v>501</v>
      </c>
    </row>
    <row r="10" spans="1:8" ht="15">
      <c r="A10" s="99"/>
      <c r="B10" s="96"/>
      <c r="C10" s="97" t="s">
        <v>502</v>
      </c>
      <c r="D10" s="96"/>
      <c r="E10" s="96"/>
      <c r="F10" s="96"/>
      <c r="G10" s="96"/>
      <c r="H10" s="98"/>
    </row>
    <row r="11" spans="1:8" ht="15">
      <c r="A11" s="99"/>
      <c r="B11" s="96"/>
      <c r="C11" s="97" t="s">
        <v>503</v>
      </c>
      <c r="D11" s="96"/>
      <c r="E11" s="96"/>
      <c r="F11" s="96"/>
      <c r="G11" s="96"/>
      <c r="H11" s="98"/>
    </row>
    <row r="12" spans="1:8" ht="15">
      <c r="A12" s="99"/>
      <c r="B12" s="96"/>
      <c r="C12" s="97" t="s">
        <v>504</v>
      </c>
      <c r="D12" s="96"/>
      <c r="E12" s="96"/>
      <c r="F12" s="96"/>
      <c r="G12" s="96"/>
      <c r="H12" s="98"/>
    </row>
    <row r="13" spans="1:8" ht="15">
      <c r="A13" s="99"/>
      <c r="B13" s="96"/>
      <c r="C13" s="101" t="s">
        <v>505</v>
      </c>
      <c r="D13" s="96"/>
      <c r="E13" s="96"/>
      <c r="F13" s="96"/>
      <c r="G13" s="96"/>
      <c r="H13" s="98"/>
    </row>
    <row r="14" spans="1:8" ht="15">
      <c r="A14" s="99"/>
      <c r="B14" s="96"/>
      <c r="C14" s="101" t="s">
        <v>506</v>
      </c>
      <c r="D14" s="96"/>
      <c r="E14" s="96"/>
      <c r="F14" s="96"/>
      <c r="G14" s="96"/>
      <c r="H14" s="98"/>
    </row>
    <row r="15" spans="1:8" ht="15">
      <c r="A15" s="99"/>
      <c r="B15" s="96"/>
      <c r="C15" s="102" t="s">
        <v>507</v>
      </c>
      <c r="D15" s="96"/>
      <c r="E15" s="96"/>
      <c r="F15" s="96"/>
      <c r="G15" s="96"/>
      <c r="H15" s="98"/>
    </row>
    <row r="16" spans="1:8" ht="15">
      <c r="A16" s="99"/>
      <c r="B16" s="96"/>
      <c r="C16" s="101" t="s">
        <v>508</v>
      </c>
      <c r="D16" s="96"/>
      <c r="E16" s="96"/>
      <c r="F16" s="96"/>
      <c r="G16" s="96"/>
      <c r="H16" s="98"/>
    </row>
    <row r="17" spans="1:8" ht="15">
      <c r="A17" s="99"/>
      <c r="B17" s="96"/>
      <c r="C17" s="103" t="s">
        <v>509</v>
      </c>
      <c r="D17" s="96"/>
      <c r="E17" s="96"/>
      <c r="F17" s="96"/>
      <c r="G17" s="96"/>
      <c r="H17" s="98"/>
    </row>
    <row r="18" spans="1:8" ht="15">
      <c r="A18" s="99" t="s">
        <v>510</v>
      </c>
      <c r="B18" s="100" t="s">
        <v>511</v>
      </c>
      <c r="C18" s="97" t="s">
        <v>512</v>
      </c>
      <c r="D18" s="96" t="s">
        <v>102</v>
      </c>
      <c r="E18" s="96">
        <v>1</v>
      </c>
      <c r="F18" s="96">
        <v>0</v>
      </c>
      <c r="G18" s="96">
        <f aca="true" t="shared" si="0" ref="G18:G70">E18*F18</f>
        <v>0</v>
      </c>
      <c r="H18" s="98" t="s">
        <v>501</v>
      </c>
    </row>
    <row r="19" spans="1:8" ht="15">
      <c r="A19" s="99"/>
      <c r="B19" s="96"/>
      <c r="C19" s="97" t="s">
        <v>502</v>
      </c>
      <c r="D19" s="96"/>
      <c r="E19" s="96"/>
      <c r="F19" s="96"/>
      <c r="G19" s="96"/>
      <c r="H19" s="98"/>
    </row>
    <row r="20" spans="1:8" ht="15">
      <c r="A20" s="99"/>
      <c r="B20" s="96"/>
      <c r="C20" s="97" t="s">
        <v>513</v>
      </c>
      <c r="D20" s="96"/>
      <c r="E20" s="96"/>
      <c r="F20" s="96"/>
      <c r="G20" s="96"/>
      <c r="H20" s="98"/>
    </row>
    <row r="21" spans="1:8" ht="15">
      <c r="A21" s="99"/>
      <c r="B21" s="96"/>
      <c r="C21" s="97" t="s">
        <v>514</v>
      </c>
      <c r="D21" s="96"/>
      <c r="E21" s="96"/>
      <c r="F21" s="96"/>
      <c r="G21" s="96"/>
      <c r="H21" s="98"/>
    </row>
    <row r="22" spans="1:8" ht="15">
      <c r="A22" s="99"/>
      <c r="B22" s="96"/>
      <c r="C22" s="97" t="s">
        <v>515</v>
      </c>
      <c r="D22" s="96"/>
      <c r="E22" s="96"/>
      <c r="F22" s="96"/>
      <c r="G22" s="96"/>
      <c r="H22" s="98"/>
    </row>
    <row r="23" spans="1:8" ht="15">
      <c r="A23" s="99"/>
      <c r="B23" s="96"/>
      <c r="C23" s="101" t="s">
        <v>516</v>
      </c>
      <c r="D23" s="96"/>
      <c r="E23" s="96"/>
      <c r="F23" s="96"/>
      <c r="G23" s="96"/>
      <c r="H23" s="98"/>
    </row>
    <row r="24" spans="1:8" ht="15">
      <c r="A24" s="99"/>
      <c r="B24" s="96"/>
      <c r="C24" s="101" t="s">
        <v>517</v>
      </c>
      <c r="D24" s="96"/>
      <c r="E24" s="96"/>
      <c r="F24" s="96"/>
      <c r="G24" s="96"/>
      <c r="H24" s="98"/>
    </row>
    <row r="25" spans="1:8" ht="15">
      <c r="A25" s="99"/>
      <c r="B25" s="96"/>
      <c r="C25" s="102" t="s">
        <v>507</v>
      </c>
      <c r="D25" s="96"/>
      <c r="E25" s="96"/>
      <c r="F25" s="96"/>
      <c r="G25" s="96"/>
      <c r="H25" s="98"/>
    </row>
    <row r="26" spans="1:8" ht="15">
      <c r="A26" s="99"/>
      <c r="B26" s="96"/>
      <c r="C26" s="101" t="s">
        <v>508</v>
      </c>
      <c r="D26" s="96"/>
      <c r="E26" s="96"/>
      <c r="F26" s="96"/>
      <c r="G26" s="96"/>
      <c r="H26" s="98"/>
    </row>
    <row r="27" spans="1:8" ht="15">
      <c r="A27" s="99"/>
      <c r="B27" s="96"/>
      <c r="C27" s="103" t="s">
        <v>509</v>
      </c>
      <c r="D27" s="96"/>
      <c r="E27" s="96"/>
      <c r="F27" s="96"/>
      <c r="G27" s="96"/>
      <c r="H27" s="98"/>
    </row>
    <row r="28" spans="1:8" ht="15">
      <c r="A28" s="99"/>
      <c r="B28" s="96"/>
      <c r="C28" s="103"/>
      <c r="D28" s="96"/>
      <c r="E28" s="96"/>
      <c r="F28" s="96"/>
      <c r="G28" s="96"/>
      <c r="H28" s="98"/>
    </row>
    <row r="29" spans="1:8" ht="15">
      <c r="A29" s="95" t="s">
        <v>518</v>
      </c>
      <c r="B29" s="104"/>
      <c r="C29" s="105"/>
      <c r="D29" s="104"/>
      <c r="E29" s="104"/>
      <c r="F29" s="104"/>
      <c r="G29" s="96"/>
      <c r="H29" s="106"/>
    </row>
    <row r="30" spans="1:8" ht="15">
      <c r="A30" s="99"/>
      <c r="B30" s="96"/>
      <c r="C30" s="103"/>
      <c r="D30" s="96"/>
      <c r="E30" s="96"/>
      <c r="F30" s="96"/>
      <c r="G30" s="96"/>
      <c r="H30" s="98"/>
    </row>
    <row r="31" spans="1:8" ht="33.75">
      <c r="A31" s="99" t="s">
        <v>519</v>
      </c>
      <c r="B31" s="100">
        <v>341110367</v>
      </c>
      <c r="C31" s="102" t="s">
        <v>520</v>
      </c>
      <c r="D31" s="96" t="s">
        <v>358</v>
      </c>
      <c r="E31" s="96">
        <v>590</v>
      </c>
      <c r="F31" s="96">
        <v>0</v>
      </c>
      <c r="G31" s="96">
        <f t="shared" si="0"/>
        <v>0</v>
      </c>
      <c r="H31" s="98" t="s">
        <v>501</v>
      </c>
    </row>
    <row r="32" spans="1:8" ht="33.75">
      <c r="A32" s="99" t="s">
        <v>521</v>
      </c>
      <c r="B32" s="107">
        <v>341110370</v>
      </c>
      <c r="C32" s="102" t="s">
        <v>522</v>
      </c>
      <c r="D32" s="108" t="s">
        <v>358</v>
      </c>
      <c r="E32" s="108">
        <v>840</v>
      </c>
      <c r="F32" s="96">
        <v>0</v>
      </c>
      <c r="G32" s="96">
        <f t="shared" si="0"/>
        <v>0</v>
      </c>
      <c r="H32" s="109" t="s">
        <v>501</v>
      </c>
    </row>
    <row r="33" spans="1:8" ht="15">
      <c r="A33" s="99"/>
      <c r="B33" s="96"/>
      <c r="C33" s="103"/>
      <c r="D33" s="96"/>
      <c r="E33" s="96"/>
      <c r="F33" s="96"/>
      <c r="G33" s="96"/>
      <c r="H33" s="98"/>
    </row>
    <row r="34" spans="1:8" ht="15">
      <c r="A34" s="95" t="s">
        <v>523</v>
      </c>
      <c r="B34" s="96"/>
      <c r="C34" s="103"/>
      <c r="D34" s="96"/>
      <c r="E34" s="96"/>
      <c r="F34" s="96"/>
      <c r="G34" s="96"/>
      <c r="H34" s="98"/>
    </row>
    <row r="35" spans="1:8" ht="15">
      <c r="A35" s="99"/>
      <c r="B35" s="96"/>
      <c r="C35" s="103"/>
      <c r="D35" s="96"/>
      <c r="E35" s="96"/>
      <c r="F35" s="96"/>
      <c r="G35" s="96"/>
      <c r="H35" s="98"/>
    </row>
    <row r="36" spans="1:8" ht="25.5">
      <c r="A36" s="99" t="s">
        <v>524</v>
      </c>
      <c r="B36" s="110">
        <v>345355146</v>
      </c>
      <c r="C36" s="111" t="s">
        <v>525</v>
      </c>
      <c r="D36" s="112" t="s">
        <v>102</v>
      </c>
      <c r="E36" s="113">
        <v>1</v>
      </c>
      <c r="F36" s="96">
        <v>0</v>
      </c>
      <c r="G36" s="96">
        <f t="shared" si="0"/>
        <v>0</v>
      </c>
      <c r="H36" s="98" t="s">
        <v>501</v>
      </c>
    </row>
    <row r="37" spans="1:8" ht="15">
      <c r="A37" s="99" t="s">
        <v>526</v>
      </c>
      <c r="B37" s="114">
        <v>345355211</v>
      </c>
      <c r="C37" s="115" t="s">
        <v>527</v>
      </c>
      <c r="D37" s="116" t="s">
        <v>102</v>
      </c>
      <c r="E37" s="113">
        <v>1</v>
      </c>
      <c r="F37" s="96">
        <v>0</v>
      </c>
      <c r="G37" s="96">
        <f t="shared" si="0"/>
        <v>0</v>
      </c>
      <c r="H37" s="98" t="s">
        <v>501</v>
      </c>
    </row>
    <row r="38" spans="1:8" ht="15">
      <c r="A38" s="99" t="s">
        <v>528</v>
      </c>
      <c r="B38" s="110">
        <v>345355104</v>
      </c>
      <c r="C38" s="103" t="s">
        <v>529</v>
      </c>
      <c r="D38" s="117" t="s">
        <v>102</v>
      </c>
      <c r="E38" s="113">
        <v>1</v>
      </c>
      <c r="F38" s="96">
        <v>0</v>
      </c>
      <c r="G38" s="96">
        <f t="shared" si="0"/>
        <v>0</v>
      </c>
      <c r="H38" s="98" t="s">
        <v>501</v>
      </c>
    </row>
    <row r="39" spans="1:8" ht="25.5">
      <c r="A39" s="99" t="s">
        <v>530</v>
      </c>
      <c r="B39" s="118">
        <v>345355148</v>
      </c>
      <c r="C39" s="108" t="s">
        <v>531</v>
      </c>
      <c r="D39" s="119" t="s">
        <v>102</v>
      </c>
      <c r="E39" s="113">
        <v>14</v>
      </c>
      <c r="F39" s="96">
        <v>0</v>
      </c>
      <c r="G39" s="96">
        <f t="shared" si="0"/>
        <v>0</v>
      </c>
      <c r="H39" s="98" t="s">
        <v>501</v>
      </c>
    </row>
    <row r="40" spans="1:8" ht="15">
      <c r="A40" s="99" t="s">
        <v>532</v>
      </c>
      <c r="B40" s="121">
        <v>345355216</v>
      </c>
      <c r="C40" s="115" t="s">
        <v>533</v>
      </c>
      <c r="D40" s="122" t="s">
        <v>102</v>
      </c>
      <c r="E40" s="113">
        <v>14</v>
      </c>
      <c r="F40" s="96">
        <v>0</v>
      </c>
      <c r="G40" s="96">
        <f t="shared" si="0"/>
        <v>0</v>
      </c>
      <c r="H40" s="98" t="s">
        <v>501</v>
      </c>
    </row>
    <row r="41" spans="1:8" ht="15">
      <c r="A41" s="99" t="s">
        <v>534</v>
      </c>
      <c r="B41" s="110">
        <v>345355104</v>
      </c>
      <c r="C41" s="103" t="s">
        <v>529</v>
      </c>
      <c r="D41" s="122" t="s">
        <v>102</v>
      </c>
      <c r="E41" s="113">
        <v>14</v>
      </c>
      <c r="F41" s="96">
        <v>0</v>
      </c>
      <c r="G41" s="96">
        <f t="shared" si="0"/>
        <v>0</v>
      </c>
      <c r="H41" s="98" t="s">
        <v>501</v>
      </c>
    </row>
    <row r="42" spans="1:8" ht="15">
      <c r="A42" s="99"/>
      <c r="B42" s="110"/>
      <c r="C42" s="103"/>
      <c r="D42" s="122"/>
      <c r="E42" s="113"/>
      <c r="F42" s="124"/>
      <c r="G42" s="96"/>
      <c r="H42" s="98"/>
    </row>
    <row r="43" spans="1:8" ht="15">
      <c r="A43" s="95" t="s">
        <v>535</v>
      </c>
      <c r="B43" s="100"/>
      <c r="C43" s="102"/>
      <c r="D43" s="96"/>
      <c r="E43" s="96"/>
      <c r="F43" s="96"/>
      <c r="G43" s="96"/>
      <c r="H43" s="98"/>
    </row>
    <row r="44" spans="1:8" ht="15">
      <c r="A44" s="99"/>
      <c r="B44" s="100"/>
      <c r="C44" s="102"/>
      <c r="D44" s="96"/>
      <c r="E44" s="96"/>
      <c r="F44" s="96"/>
      <c r="G44" s="96"/>
      <c r="H44" s="98"/>
    </row>
    <row r="45" spans="1:8" ht="22.5">
      <c r="A45" s="99" t="s">
        <v>536</v>
      </c>
      <c r="B45" s="110">
        <v>358111274</v>
      </c>
      <c r="C45" s="125" t="s">
        <v>537</v>
      </c>
      <c r="D45" s="126" t="s">
        <v>102</v>
      </c>
      <c r="E45" s="96">
        <v>21</v>
      </c>
      <c r="F45" s="96">
        <v>0</v>
      </c>
      <c r="G45" s="96">
        <f t="shared" si="0"/>
        <v>0</v>
      </c>
      <c r="H45" s="98" t="s">
        <v>501</v>
      </c>
    </row>
    <row r="46" spans="1:8" ht="22.5">
      <c r="A46" s="99" t="s">
        <v>538</v>
      </c>
      <c r="B46" s="110">
        <v>358111279</v>
      </c>
      <c r="C46" s="125" t="s">
        <v>539</v>
      </c>
      <c r="D46" s="126" t="s">
        <v>102</v>
      </c>
      <c r="E46" s="96">
        <v>12</v>
      </c>
      <c r="F46" s="96">
        <v>0</v>
      </c>
      <c r="G46" s="96">
        <f t="shared" si="0"/>
        <v>0</v>
      </c>
      <c r="H46" s="98" t="s">
        <v>501</v>
      </c>
    </row>
    <row r="47" spans="1:8" ht="15">
      <c r="A47" s="99" t="s">
        <v>540</v>
      </c>
      <c r="B47" s="127">
        <v>358113336</v>
      </c>
      <c r="C47" s="108" t="s">
        <v>541</v>
      </c>
      <c r="D47" s="128" t="s">
        <v>102</v>
      </c>
      <c r="E47" s="96">
        <v>9</v>
      </c>
      <c r="F47" s="96">
        <v>0</v>
      </c>
      <c r="G47" s="96">
        <f t="shared" si="0"/>
        <v>0</v>
      </c>
      <c r="H47" s="98" t="s">
        <v>501</v>
      </c>
    </row>
    <row r="48" spans="1:8" ht="15">
      <c r="A48" s="99"/>
      <c r="B48" s="96"/>
      <c r="C48" s="103"/>
      <c r="D48" s="96"/>
      <c r="E48" s="96"/>
      <c r="F48" s="96"/>
      <c r="G48" s="96"/>
      <c r="H48" s="98"/>
    </row>
    <row r="49" spans="1:8" ht="15">
      <c r="A49" s="95" t="s">
        <v>542</v>
      </c>
      <c r="B49" s="100"/>
      <c r="C49" s="97"/>
      <c r="D49" s="96"/>
      <c r="E49" s="96"/>
      <c r="F49" s="96"/>
      <c r="G49" s="96"/>
      <c r="H49" s="98"/>
    </row>
    <row r="50" spans="1:8" ht="15">
      <c r="A50" s="99"/>
      <c r="B50" s="100"/>
      <c r="C50" s="102"/>
      <c r="D50" s="96"/>
      <c r="E50" s="96"/>
      <c r="F50" s="96"/>
      <c r="G50" s="96"/>
      <c r="H50" s="98"/>
    </row>
    <row r="51" spans="1:8" ht="15">
      <c r="A51" s="99" t="s">
        <v>543</v>
      </c>
      <c r="B51" s="129">
        <v>345218833</v>
      </c>
      <c r="C51" s="102" t="s">
        <v>544</v>
      </c>
      <c r="D51" s="96" t="s">
        <v>358</v>
      </c>
      <c r="E51" s="123">
        <v>4</v>
      </c>
      <c r="F51" s="96">
        <v>0</v>
      </c>
      <c r="G51" s="96">
        <f t="shared" si="0"/>
        <v>0</v>
      </c>
      <c r="H51" s="109" t="s">
        <v>501</v>
      </c>
    </row>
    <row r="52" spans="1:8" ht="15">
      <c r="A52" s="99" t="s">
        <v>545</v>
      </c>
      <c r="B52" s="127">
        <v>345218908</v>
      </c>
      <c r="C52" s="101" t="s">
        <v>546</v>
      </c>
      <c r="D52" s="113" t="s">
        <v>358</v>
      </c>
      <c r="E52" s="96">
        <v>117</v>
      </c>
      <c r="F52" s="96">
        <v>0</v>
      </c>
      <c r="G52" s="96">
        <f t="shared" si="0"/>
        <v>0</v>
      </c>
      <c r="H52" s="98" t="s">
        <v>547</v>
      </c>
    </row>
    <row r="53" spans="1:8" ht="15">
      <c r="A53" s="99" t="s">
        <v>548</v>
      </c>
      <c r="B53" s="127">
        <v>345218910</v>
      </c>
      <c r="C53" s="101" t="s">
        <v>549</v>
      </c>
      <c r="D53" s="113" t="s">
        <v>358</v>
      </c>
      <c r="E53" s="96">
        <v>8</v>
      </c>
      <c r="F53" s="96">
        <v>0</v>
      </c>
      <c r="G53" s="96">
        <f t="shared" si="0"/>
        <v>0</v>
      </c>
      <c r="H53" s="98" t="s">
        <v>547</v>
      </c>
    </row>
    <row r="54" spans="1:8" ht="15">
      <c r="A54" s="99" t="s">
        <v>550</v>
      </c>
      <c r="B54" s="127">
        <v>345218914</v>
      </c>
      <c r="C54" s="101" t="s">
        <v>551</v>
      </c>
      <c r="D54" s="113" t="s">
        <v>358</v>
      </c>
      <c r="E54" s="96">
        <v>12</v>
      </c>
      <c r="F54" s="96">
        <v>0</v>
      </c>
      <c r="G54" s="96">
        <f t="shared" si="0"/>
        <v>0</v>
      </c>
      <c r="H54" s="98" t="s">
        <v>547</v>
      </c>
    </row>
    <row r="55" spans="1:8" ht="15">
      <c r="A55" s="99" t="s">
        <v>552</v>
      </c>
      <c r="B55" s="127">
        <v>211126000</v>
      </c>
      <c r="C55" s="130" t="s">
        <v>553</v>
      </c>
      <c r="D55" s="131" t="s">
        <v>554</v>
      </c>
      <c r="E55" s="113">
        <v>1</v>
      </c>
      <c r="F55" s="96">
        <v>0</v>
      </c>
      <c r="G55" s="96">
        <f t="shared" si="0"/>
        <v>0</v>
      </c>
      <c r="H55" s="132" t="s">
        <v>501</v>
      </c>
    </row>
    <row r="56" spans="1:8" ht="15">
      <c r="A56" s="99" t="s">
        <v>555</v>
      </c>
      <c r="B56" s="127">
        <v>314324118</v>
      </c>
      <c r="C56" s="133" t="s">
        <v>556</v>
      </c>
      <c r="D56" s="131" t="s">
        <v>102</v>
      </c>
      <c r="E56" s="96">
        <v>540</v>
      </c>
      <c r="F56" s="96">
        <v>0</v>
      </c>
      <c r="G56" s="96">
        <f t="shared" si="0"/>
        <v>0</v>
      </c>
      <c r="H56" s="98" t="s">
        <v>547</v>
      </c>
    </row>
    <row r="57" spans="1:8" ht="15">
      <c r="A57" s="99" t="s">
        <v>557</v>
      </c>
      <c r="B57" s="127">
        <v>345711232</v>
      </c>
      <c r="C57" s="113" t="s">
        <v>558</v>
      </c>
      <c r="D57" s="131" t="s">
        <v>102</v>
      </c>
      <c r="E57" s="134">
        <f>E36+E39+E45+E46+E47</f>
        <v>57</v>
      </c>
      <c r="F57" s="96">
        <v>0</v>
      </c>
      <c r="G57" s="96">
        <f t="shared" si="0"/>
        <v>0</v>
      </c>
      <c r="H57" s="98" t="s">
        <v>501</v>
      </c>
    </row>
    <row r="58" spans="1:8" ht="15">
      <c r="A58" s="99" t="s">
        <v>559</v>
      </c>
      <c r="B58" s="135">
        <v>345711241</v>
      </c>
      <c r="C58" s="136" t="s">
        <v>560</v>
      </c>
      <c r="D58" s="131" t="s">
        <v>102</v>
      </c>
      <c r="E58" s="137">
        <v>22</v>
      </c>
      <c r="F58" s="96">
        <v>0</v>
      </c>
      <c r="G58" s="96">
        <f t="shared" si="0"/>
        <v>0</v>
      </c>
      <c r="H58" s="98" t="s">
        <v>501</v>
      </c>
    </row>
    <row r="59" spans="1:8" ht="15">
      <c r="A59" s="99" t="s">
        <v>561</v>
      </c>
      <c r="B59" s="127">
        <v>345711264</v>
      </c>
      <c r="C59" s="113" t="s">
        <v>562</v>
      </c>
      <c r="D59" s="131" t="s">
        <v>102</v>
      </c>
      <c r="E59" s="134">
        <v>41</v>
      </c>
      <c r="F59" s="96">
        <v>0</v>
      </c>
      <c r="G59" s="96">
        <f t="shared" si="0"/>
        <v>0</v>
      </c>
      <c r="H59" s="98" t="s">
        <v>501</v>
      </c>
    </row>
    <row r="60" spans="1:8" ht="15">
      <c r="A60" s="99"/>
      <c r="B60" s="127"/>
      <c r="C60" s="113"/>
      <c r="D60" s="131"/>
      <c r="E60" s="134"/>
      <c r="F60" s="134"/>
      <c r="G60" s="96"/>
      <c r="H60" s="98"/>
    </row>
    <row r="61" spans="1:8" ht="15">
      <c r="A61" s="95" t="s">
        <v>563</v>
      </c>
      <c r="B61" s="100"/>
      <c r="C61" s="102"/>
      <c r="D61" s="96"/>
      <c r="E61" s="96"/>
      <c r="F61" s="96"/>
      <c r="G61" s="96"/>
      <c r="H61" s="109"/>
    </row>
    <row r="62" spans="1:8" ht="15">
      <c r="A62" s="99"/>
      <c r="B62" s="100"/>
      <c r="C62" s="102"/>
      <c r="D62" s="96"/>
      <c r="E62" s="96"/>
      <c r="F62" s="96"/>
      <c r="G62" s="96"/>
      <c r="H62" s="109"/>
    </row>
    <row r="63" spans="1:8" ht="45">
      <c r="A63" s="99" t="s">
        <v>564</v>
      </c>
      <c r="B63" s="127">
        <v>348531000</v>
      </c>
      <c r="C63" s="138" t="s">
        <v>565</v>
      </c>
      <c r="D63" s="96" t="s">
        <v>102</v>
      </c>
      <c r="E63" s="123">
        <v>65</v>
      </c>
      <c r="F63" s="96">
        <v>0</v>
      </c>
      <c r="G63" s="96">
        <f t="shared" si="0"/>
        <v>0</v>
      </c>
      <c r="H63" s="98" t="s">
        <v>501</v>
      </c>
    </row>
    <row r="64" spans="1:8" ht="15">
      <c r="A64" s="99" t="s">
        <v>566</v>
      </c>
      <c r="B64" s="118">
        <v>348531001</v>
      </c>
      <c r="C64" s="138" t="s">
        <v>567</v>
      </c>
      <c r="D64" s="96" t="s">
        <v>102</v>
      </c>
      <c r="E64" s="123">
        <v>18</v>
      </c>
      <c r="F64" s="96">
        <v>0</v>
      </c>
      <c r="G64" s="96">
        <f t="shared" si="0"/>
        <v>0</v>
      </c>
      <c r="H64" s="109" t="s">
        <v>501</v>
      </c>
    </row>
    <row r="65" spans="1:8" ht="25.5">
      <c r="A65" s="99" t="s">
        <v>568</v>
      </c>
      <c r="B65" s="139" t="s">
        <v>569</v>
      </c>
      <c r="C65" s="97" t="s">
        <v>570</v>
      </c>
      <c r="D65" s="96" t="s">
        <v>102</v>
      </c>
      <c r="E65" s="96">
        <v>65</v>
      </c>
      <c r="F65" s="96">
        <v>0</v>
      </c>
      <c r="G65" s="96">
        <f t="shared" si="0"/>
        <v>0</v>
      </c>
      <c r="H65" s="109" t="s">
        <v>501</v>
      </c>
    </row>
    <row r="66" spans="1:8" ht="15">
      <c r="A66" s="99"/>
      <c r="B66" s="139"/>
      <c r="C66" s="97"/>
      <c r="D66" s="96"/>
      <c r="E66" s="96"/>
      <c r="F66" s="96"/>
      <c r="G66" s="96"/>
      <c r="H66" s="109"/>
    </row>
    <row r="67" spans="1:8" ht="15">
      <c r="A67" s="140" t="s">
        <v>571</v>
      </c>
      <c r="B67" s="131"/>
      <c r="C67" s="141"/>
      <c r="D67" s="123"/>
      <c r="E67" s="142"/>
      <c r="F67" s="143"/>
      <c r="G67" s="96"/>
      <c r="H67" s="98"/>
    </row>
    <row r="68" spans="1:8" ht="15">
      <c r="A68" s="144"/>
      <c r="B68" s="131"/>
      <c r="C68" s="141"/>
      <c r="D68" s="123"/>
      <c r="E68" s="142"/>
      <c r="F68" s="143"/>
      <c r="G68" s="96"/>
      <c r="H68" s="98"/>
    </row>
    <row r="69" spans="1:8" ht="15">
      <c r="A69" s="144" t="s">
        <v>572</v>
      </c>
      <c r="B69" s="100">
        <v>341228000</v>
      </c>
      <c r="C69" s="131" t="s">
        <v>573</v>
      </c>
      <c r="D69" s="101" t="s">
        <v>102</v>
      </c>
      <c r="E69" s="142">
        <v>1</v>
      </c>
      <c r="F69" s="96">
        <v>0</v>
      </c>
      <c r="G69" s="96">
        <f t="shared" si="0"/>
        <v>0</v>
      </c>
      <c r="H69" s="98" t="s">
        <v>501</v>
      </c>
    </row>
    <row r="70" spans="1:8" ht="89.25">
      <c r="A70" s="144" t="s">
        <v>574</v>
      </c>
      <c r="B70" s="145">
        <v>341000000</v>
      </c>
      <c r="C70" s="111" t="s">
        <v>575</v>
      </c>
      <c r="D70" s="146" t="s">
        <v>102</v>
      </c>
      <c r="E70" s="111">
        <v>1</v>
      </c>
      <c r="F70" s="96">
        <v>0</v>
      </c>
      <c r="G70" s="96">
        <f t="shared" si="0"/>
        <v>0</v>
      </c>
      <c r="H70" s="109" t="s">
        <v>501</v>
      </c>
    </row>
    <row r="71" spans="1:8" ht="13.5" thickBot="1">
      <c r="A71" s="147"/>
      <c r="B71" s="148"/>
      <c r="C71" s="149"/>
      <c r="D71" s="150"/>
      <c r="E71" s="151"/>
      <c r="F71" s="152"/>
      <c r="G71" s="153"/>
      <c r="H71" s="154"/>
    </row>
    <row r="72" spans="1:8" ht="15">
      <c r="A72" s="155"/>
      <c r="B72" s="156"/>
      <c r="C72" s="156"/>
      <c r="D72" s="157"/>
      <c r="E72" s="157"/>
      <c r="F72" s="157"/>
      <c r="G72" s="157"/>
      <c r="H72" s="158"/>
    </row>
    <row r="73" spans="1:8" ht="15">
      <c r="A73" s="159"/>
      <c r="B73" s="160" t="s">
        <v>576</v>
      </c>
      <c r="C73" s="160"/>
      <c r="D73" s="161"/>
      <c r="E73" s="161"/>
      <c r="F73" s="161"/>
      <c r="G73" s="161">
        <f>SUM(G9:G72)</f>
        <v>0</v>
      </c>
      <c r="H73" s="162"/>
    </row>
    <row r="74" spans="1:8" ht="13.5" thickBot="1">
      <c r="A74" s="163"/>
      <c r="B74" s="164"/>
      <c r="C74" s="164"/>
      <c r="D74" s="165"/>
      <c r="E74" s="165"/>
      <c r="F74" s="165"/>
      <c r="G74" s="165"/>
      <c r="H74" s="166"/>
    </row>
  </sheetData>
  <sheetProtection selectLockedCells="1" selectUnlockedCells="1"/>
  <mergeCells count="1">
    <mergeCell ref="F4:G4"/>
  </mergeCells>
  <printOptions/>
  <pageMargins left="0.7" right="0.7" top="0.7875" bottom="0.7875" header="0.5118055555555555" footer="0.5118055555555555"/>
  <pageSetup horizontalDpi="300" verticalDpi="300" orientation="portrait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L17" sqref="L17"/>
    </sheetView>
  </sheetViews>
  <sheetFormatPr defaultColWidth="11.16015625" defaultRowHeight="15"/>
  <cols>
    <col min="1" max="1" width="8" style="79" customWidth="1"/>
    <col min="2" max="2" width="13.5" style="79" customWidth="1"/>
    <col min="3" max="3" width="51.5" style="79" customWidth="1"/>
    <col min="4" max="4" width="8.83203125" style="79" customWidth="1"/>
    <col min="5" max="5" width="9.33203125" style="79" customWidth="1"/>
    <col min="6" max="7" width="11.16015625" style="79" customWidth="1"/>
    <col min="8" max="8" width="16.66015625" style="79" customWidth="1"/>
    <col min="9" max="16384" width="11.16015625" style="79" customWidth="1"/>
  </cols>
  <sheetData>
    <row r="1" spans="1:2" ht="15">
      <c r="A1" s="79" t="s">
        <v>485</v>
      </c>
      <c r="B1" s="79" t="s">
        <v>486</v>
      </c>
    </row>
    <row r="2" spans="1:2" ht="15">
      <c r="A2" s="79" t="s">
        <v>487</v>
      </c>
      <c r="B2" s="79" t="s">
        <v>488</v>
      </c>
    </row>
    <row r="4" spans="1:8" ht="15">
      <c r="A4" s="80"/>
      <c r="B4" s="81"/>
      <c r="C4" s="82"/>
      <c r="D4" s="81"/>
      <c r="E4" s="81"/>
      <c r="F4" s="260" t="s">
        <v>577</v>
      </c>
      <c r="G4" s="260"/>
      <c r="H4" s="83"/>
    </row>
    <row r="5" spans="1:8" ht="13.5" thickBot="1">
      <c r="A5" s="84" t="s">
        <v>490</v>
      </c>
      <c r="B5" s="85" t="s">
        <v>491</v>
      </c>
      <c r="C5" s="86" t="s">
        <v>492</v>
      </c>
      <c r="D5" s="87" t="s">
        <v>145</v>
      </c>
      <c r="E5" s="87" t="s">
        <v>493</v>
      </c>
      <c r="F5" s="87" t="s">
        <v>494</v>
      </c>
      <c r="G5" s="88" t="s">
        <v>495</v>
      </c>
      <c r="H5" s="89" t="s">
        <v>496</v>
      </c>
    </row>
    <row r="6" spans="1:8" ht="15">
      <c r="A6" s="90"/>
      <c r="B6" s="91"/>
      <c r="C6" s="92"/>
      <c r="D6" s="91"/>
      <c r="E6" s="91"/>
      <c r="F6" s="91"/>
      <c r="G6" s="93"/>
      <c r="H6" s="94"/>
    </row>
    <row r="7" spans="1:8" ht="15">
      <c r="A7" s="95" t="s">
        <v>497</v>
      </c>
      <c r="B7" s="96"/>
      <c r="C7" s="97"/>
      <c r="D7" s="96"/>
      <c r="E7" s="96"/>
      <c r="F7" s="96"/>
      <c r="G7" s="96"/>
      <c r="H7" s="98"/>
    </row>
    <row r="8" spans="1:8" ht="15">
      <c r="A8" s="99"/>
      <c r="B8" s="96"/>
      <c r="C8" s="97"/>
      <c r="D8" s="96"/>
      <c r="E8" s="96"/>
      <c r="F8" s="96"/>
      <c r="G8" s="96"/>
      <c r="H8" s="98"/>
    </row>
    <row r="9" spans="1:8" ht="15">
      <c r="A9" s="99"/>
      <c r="B9" s="100"/>
      <c r="C9" s="167" t="s">
        <v>500</v>
      </c>
      <c r="D9" s="96"/>
      <c r="E9" s="96"/>
      <c r="F9" s="96"/>
      <c r="G9" s="96"/>
      <c r="H9" s="98"/>
    </row>
    <row r="10" spans="1:8" ht="22.5">
      <c r="A10" s="99" t="s">
        <v>578</v>
      </c>
      <c r="B10" s="135">
        <v>741322111</v>
      </c>
      <c r="C10" s="120" t="s">
        <v>579</v>
      </c>
      <c r="D10" s="143" t="s">
        <v>102</v>
      </c>
      <c r="E10" s="168">
        <v>1</v>
      </c>
      <c r="F10" s="143">
        <v>0</v>
      </c>
      <c r="G10" s="96">
        <f aca="true" t="shared" si="0" ref="G10:G71">E10*F10</f>
        <v>0</v>
      </c>
      <c r="H10" s="169" t="s">
        <v>580</v>
      </c>
    </row>
    <row r="11" spans="1:8" ht="15">
      <c r="A11" s="99" t="s">
        <v>581</v>
      </c>
      <c r="B11" s="100" t="s">
        <v>582</v>
      </c>
      <c r="C11" s="97" t="s">
        <v>583</v>
      </c>
      <c r="D11" s="96" t="s">
        <v>584</v>
      </c>
      <c r="E11" s="96">
        <v>0.65</v>
      </c>
      <c r="F11" s="143">
        <v>0</v>
      </c>
      <c r="G11" s="96">
        <f t="shared" si="0"/>
        <v>0</v>
      </c>
      <c r="H11" s="98" t="s">
        <v>585</v>
      </c>
    </row>
    <row r="12" spans="1:8" ht="22.5">
      <c r="A12" s="99" t="s">
        <v>586</v>
      </c>
      <c r="B12" s="141">
        <v>741321002</v>
      </c>
      <c r="C12" s="170" t="s">
        <v>587</v>
      </c>
      <c r="D12" s="143" t="s">
        <v>102</v>
      </c>
      <c r="E12" s="168">
        <v>4</v>
      </c>
      <c r="F12" s="143">
        <v>0</v>
      </c>
      <c r="G12" s="96">
        <f t="shared" si="0"/>
        <v>0</v>
      </c>
      <c r="H12" s="169" t="s">
        <v>580</v>
      </c>
    </row>
    <row r="13" spans="1:8" ht="22.5">
      <c r="A13" s="99" t="s">
        <v>588</v>
      </c>
      <c r="B13" s="127">
        <v>741320101</v>
      </c>
      <c r="C13" s="171" t="s">
        <v>589</v>
      </c>
      <c r="D13" s="143" t="s">
        <v>102</v>
      </c>
      <c r="E13" s="168">
        <v>7</v>
      </c>
      <c r="F13" s="143">
        <v>0</v>
      </c>
      <c r="G13" s="96">
        <f t="shared" si="0"/>
        <v>0</v>
      </c>
      <c r="H13" s="169" t="s">
        <v>580</v>
      </c>
    </row>
    <row r="14" spans="1:8" ht="22.5">
      <c r="A14" s="99" t="s">
        <v>590</v>
      </c>
      <c r="B14" s="118" t="s">
        <v>591</v>
      </c>
      <c r="C14" s="143" t="s">
        <v>592</v>
      </c>
      <c r="D14" s="143" t="s">
        <v>584</v>
      </c>
      <c r="E14" s="168">
        <v>2</v>
      </c>
      <c r="F14" s="143">
        <v>0</v>
      </c>
      <c r="G14" s="96">
        <f t="shared" si="0"/>
        <v>0</v>
      </c>
      <c r="H14" s="109" t="s">
        <v>585</v>
      </c>
    </row>
    <row r="15" spans="1:8" ht="15">
      <c r="A15" s="99" t="s">
        <v>593</v>
      </c>
      <c r="B15" s="118" t="s">
        <v>594</v>
      </c>
      <c r="C15" s="143" t="s">
        <v>595</v>
      </c>
      <c r="D15" s="143" t="s">
        <v>584</v>
      </c>
      <c r="E15" s="168">
        <v>4</v>
      </c>
      <c r="F15" s="143">
        <v>0</v>
      </c>
      <c r="G15" s="96">
        <f t="shared" si="0"/>
        <v>0</v>
      </c>
      <c r="H15" s="109" t="s">
        <v>585</v>
      </c>
    </row>
    <row r="16" spans="1:8" ht="15">
      <c r="A16" s="99"/>
      <c r="B16" s="96"/>
      <c r="C16" s="167" t="s">
        <v>512</v>
      </c>
      <c r="D16" s="96"/>
      <c r="E16" s="96"/>
      <c r="F16" s="96"/>
      <c r="G16" s="96">
        <f t="shared" si="0"/>
        <v>0</v>
      </c>
      <c r="H16" s="98"/>
    </row>
    <row r="17" spans="1:8" ht="38.25">
      <c r="A17" s="99" t="s">
        <v>596</v>
      </c>
      <c r="B17" s="96">
        <v>741322111</v>
      </c>
      <c r="C17" s="97" t="s">
        <v>579</v>
      </c>
      <c r="D17" s="96" t="s">
        <v>102</v>
      </c>
      <c r="E17" s="96">
        <v>1</v>
      </c>
      <c r="F17" s="143">
        <v>0</v>
      </c>
      <c r="G17" s="96">
        <f t="shared" si="0"/>
        <v>0</v>
      </c>
      <c r="H17" s="98" t="s">
        <v>580</v>
      </c>
    </row>
    <row r="18" spans="1:8" ht="15">
      <c r="A18" s="99" t="s">
        <v>597</v>
      </c>
      <c r="B18" s="100" t="s">
        <v>598</v>
      </c>
      <c r="C18" s="97" t="s">
        <v>583</v>
      </c>
      <c r="D18" s="96" t="s">
        <v>584</v>
      </c>
      <c r="E18" s="96">
        <v>0.65</v>
      </c>
      <c r="F18" s="143">
        <v>0</v>
      </c>
      <c r="G18" s="96">
        <f t="shared" si="0"/>
        <v>0</v>
      </c>
      <c r="H18" s="98" t="s">
        <v>585</v>
      </c>
    </row>
    <row r="19" spans="1:8" ht="22.5">
      <c r="A19" s="99" t="s">
        <v>599</v>
      </c>
      <c r="B19" s="141">
        <v>741321002</v>
      </c>
      <c r="C19" s="120" t="s">
        <v>587</v>
      </c>
      <c r="D19" s="143" t="s">
        <v>102</v>
      </c>
      <c r="E19" s="168">
        <v>3</v>
      </c>
      <c r="F19" s="143">
        <v>0</v>
      </c>
      <c r="G19" s="96">
        <f t="shared" si="0"/>
        <v>0</v>
      </c>
      <c r="H19" s="169" t="s">
        <v>580</v>
      </c>
    </row>
    <row r="20" spans="1:8" ht="22.5">
      <c r="A20" s="99" t="s">
        <v>600</v>
      </c>
      <c r="B20" s="141">
        <v>741321012</v>
      </c>
      <c r="C20" s="170" t="s">
        <v>601</v>
      </c>
      <c r="D20" s="96" t="s">
        <v>102</v>
      </c>
      <c r="E20" s="96">
        <v>4</v>
      </c>
      <c r="F20" s="143">
        <v>0</v>
      </c>
      <c r="G20" s="96">
        <f t="shared" si="0"/>
        <v>0</v>
      </c>
      <c r="H20" s="169" t="s">
        <v>580</v>
      </c>
    </row>
    <row r="21" spans="1:8" ht="22.5">
      <c r="A21" s="99" t="s">
        <v>602</v>
      </c>
      <c r="B21" s="127">
        <v>741320101</v>
      </c>
      <c r="C21" s="171" t="s">
        <v>589</v>
      </c>
      <c r="D21" s="143" t="s">
        <v>102</v>
      </c>
      <c r="E21" s="168">
        <v>15</v>
      </c>
      <c r="F21" s="143">
        <v>0</v>
      </c>
      <c r="G21" s="96">
        <f t="shared" si="0"/>
        <v>0</v>
      </c>
      <c r="H21" s="169" t="s">
        <v>580</v>
      </c>
    </row>
    <row r="22" spans="1:8" ht="22.5">
      <c r="A22" s="99" t="s">
        <v>603</v>
      </c>
      <c r="B22" s="118" t="s">
        <v>604</v>
      </c>
      <c r="C22" s="143" t="s">
        <v>592</v>
      </c>
      <c r="D22" s="143" t="s">
        <v>584</v>
      </c>
      <c r="E22" s="168">
        <v>2</v>
      </c>
      <c r="F22" s="143">
        <v>0</v>
      </c>
      <c r="G22" s="96">
        <f t="shared" si="0"/>
        <v>0</v>
      </c>
      <c r="H22" s="109" t="s">
        <v>585</v>
      </c>
    </row>
    <row r="23" spans="1:8" ht="15">
      <c r="A23" s="99" t="s">
        <v>605</v>
      </c>
      <c r="B23" s="118" t="s">
        <v>606</v>
      </c>
      <c r="C23" s="143" t="s">
        <v>607</v>
      </c>
      <c r="D23" s="143" t="s">
        <v>584</v>
      </c>
      <c r="E23" s="168">
        <v>4</v>
      </c>
      <c r="F23" s="143">
        <v>0</v>
      </c>
      <c r="G23" s="96">
        <f t="shared" si="0"/>
        <v>0</v>
      </c>
      <c r="H23" s="109" t="s">
        <v>585</v>
      </c>
    </row>
    <row r="24" spans="1:8" ht="15">
      <c r="A24" s="99"/>
      <c r="B24" s="96"/>
      <c r="C24" s="103"/>
      <c r="D24" s="96"/>
      <c r="E24" s="96"/>
      <c r="F24" s="96"/>
      <c r="G24" s="96"/>
      <c r="H24" s="98"/>
    </row>
    <row r="25" spans="1:8" ht="15">
      <c r="A25" s="95" t="s">
        <v>518</v>
      </c>
      <c r="B25" s="104"/>
      <c r="C25" s="105"/>
      <c r="D25" s="104"/>
      <c r="E25" s="104"/>
      <c r="F25" s="104"/>
      <c r="G25" s="96"/>
      <c r="H25" s="106"/>
    </row>
    <row r="26" spans="1:8" ht="15">
      <c r="A26" s="99"/>
      <c r="B26" s="96"/>
      <c r="C26" s="103"/>
      <c r="D26" s="96"/>
      <c r="E26" s="96"/>
      <c r="F26" s="96"/>
      <c r="G26" s="96"/>
      <c r="H26" s="98"/>
    </row>
    <row r="27" spans="1:8" ht="33.75">
      <c r="A27" s="99" t="s">
        <v>608</v>
      </c>
      <c r="B27" s="172">
        <v>741122016</v>
      </c>
      <c r="C27" s="171" t="s">
        <v>609</v>
      </c>
      <c r="D27" s="108" t="s">
        <v>358</v>
      </c>
      <c r="E27" s="96">
        <v>590</v>
      </c>
      <c r="F27" s="143">
        <v>0</v>
      </c>
      <c r="G27" s="96">
        <f t="shared" si="0"/>
        <v>0</v>
      </c>
      <c r="H27" s="169" t="s">
        <v>580</v>
      </c>
    </row>
    <row r="28" spans="1:8" ht="33.75">
      <c r="A28" s="99" t="s">
        <v>610</v>
      </c>
      <c r="B28" s="172">
        <v>741122211</v>
      </c>
      <c r="C28" s="133" t="s">
        <v>611</v>
      </c>
      <c r="D28" s="96" t="s">
        <v>358</v>
      </c>
      <c r="E28" s="108">
        <v>840</v>
      </c>
      <c r="F28" s="143">
        <v>0</v>
      </c>
      <c r="G28" s="96">
        <f t="shared" si="0"/>
        <v>0</v>
      </c>
      <c r="H28" s="169" t="s">
        <v>580</v>
      </c>
    </row>
    <row r="29" spans="1:8" ht="15">
      <c r="A29" s="99"/>
      <c r="B29" s="107"/>
      <c r="C29" s="102"/>
      <c r="D29" s="108"/>
      <c r="E29" s="108"/>
      <c r="F29" s="108"/>
      <c r="G29" s="96"/>
      <c r="H29" s="109"/>
    </row>
    <row r="30" spans="1:8" ht="15">
      <c r="A30" s="95" t="s">
        <v>612</v>
      </c>
      <c r="B30" s="107"/>
      <c r="C30" s="102"/>
      <c r="D30" s="108"/>
      <c r="E30" s="108"/>
      <c r="F30" s="108"/>
      <c r="G30" s="96"/>
      <c r="H30" s="109"/>
    </row>
    <row r="31" spans="1:8" ht="15">
      <c r="A31" s="99"/>
      <c r="B31" s="107"/>
      <c r="C31" s="102"/>
      <c r="D31" s="108"/>
      <c r="E31" s="108"/>
      <c r="F31" s="108"/>
      <c r="G31" s="96"/>
      <c r="H31" s="109"/>
    </row>
    <row r="32" spans="1:8" ht="22.5">
      <c r="A32" s="99" t="s">
        <v>613</v>
      </c>
      <c r="B32" s="141">
        <v>741132103</v>
      </c>
      <c r="C32" s="173" t="s">
        <v>614</v>
      </c>
      <c r="D32" s="174" t="s">
        <v>102</v>
      </c>
      <c r="E32" s="96">
        <v>44</v>
      </c>
      <c r="F32" s="143">
        <v>0</v>
      </c>
      <c r="G32" s="96">
        <f t="shared" si="0"/>
        <v>0</v>
      </c>
      <c r="H32" s="169" t="s">
        <v>580</v>
      </c>
    </row>
    <row r="33" spans="1:8" ht="15">
      <c r="A33" s="99"/>
      <c r="B33" s="107"/>
      <c r="C33" s="102"/>
      <c r="D33" s="108"/>
      <c r="E33" s="108"/>
      <c r="F33" s="108"/>
      <c r="G33" s="96"/>
      <c r="H33" s="109"/>
    </row>
    <row r="34" spans="1:8" ht="15">
      <c r="A34" s="95" t="s">
        <v>523</v>
      </c>
      <c r="B34" s="96"/>
      <c r="C34" s="103"/>
      <c r="D34" s="96"/>
      <c r="E34" s="96"/>
      <c r="F34" s="96"/>
      <c r="G34" s="96"/>
      <c r="H34" s="98"/>
    </row>
    <row r="35" spans="1:8" ht="15">
      <c r="A35" s="99"/>
      <c r="B35" s="96"/>
      <c r="C35" s="103"/>
      <c r="D35" s="96"/>
      <c r="E35" s="96"/>
      <c r="F35" s="96"/>
      <c r="G35" s="96"/>
      <c r="H35" s="98"/>
    </row>
    <row r="36" spans="1:8" ht="33.75">
      <c r="A36" s="99" t="s">
        <v>615</v>
      </c>
      <c r="B36" s="141">
        <v>741310201</v>
      </c>
      <c r="C36" s="120" t="s">
        <v>616</v>
      </c>
      <c r="D36" s="175" t="s">
        <v>102</v>
      </c>
      <c r="E36" s="130">
        <v>1</v>
      </c>
      <c r="F36" s="143">
        <v>0</v>
      </c>
      <c r="G36" s="96">
        <f t="shared" si="0"/>
        <v>0</v>
      </c>
      <c r="H36" s="109" t="s">
        <v>580</v>
      </c>
    </row>
    <row r="37" spans="1:8" ht="33.75">
      <c r="A37" s="99" t="s">
        <v>617</v>
      </c>
      <c r="B37" s="118">
        <v>741310231</v>
      </c>
      <c r="C37" s="143" t="s">
        <v>618</v>
      </c>
      <c r="D37" s="176" t="s">
        <v>102</v>
      </c>
      <c r="E37" s="130">
        <v>14</v>
      </c>
      <c r="F37" s="143">
        <v>0</v>
      </c>
      <c r="G37" s="96">
        <f t="shared" si="0"/>
        <v>0</v>
      </c>
      <c r="H37" s="169" t="s">
        <v>580</v>
      </c>
    </row>
    <row r="38" spans="1:8" ht="15">
      <c r="A38" s="99"/>
      <c r="B38" s="110"/>
      <c r="C38" s="103"/>
      <c r="D38" s="122"/>
      <c r="E38" s="113"/>
      <c r="F38" s="124"/>
      <c r="G38" s="96"/>
      <c r="H38" s="98"/>
    </row>
    <row r="39" spans="1:8" ht="15">
      <c r="A39" s="95" t="s">
        <v>535</v>
      </c>
      <c r="B39" s="100"/>
      <c r="C39" s="102"/>
      <c r="D39" s="96"/>
      <c r="E39" s="96"/>
      <c r="F39" s="96"/>
      <c r="G39" s="96"/>
      <c r="H39" s="98"/>
    </row>
    <row r="40" spans="1:8" ht="15">
      <c r="A40" s="99"/>
      <c r="B40" s="100"/>
      <c r="C40" s="102"/>
      <c r="D40" s="96"/>
      <c r="E40" s="96"/>
      <c r="F40" s="96"/>
      <c r="G40" s="96"/>
      <c r="H40" s="98"/>
    </row>
    <row r="41" spans="1:8" ht="33.75">
      <c r="A41" s="99" t="s">
        <v>619</v>
      </c>
      <c r="B41" s="110">
        <v>741313043</v>
      </c>
      <c r="C41" s="177" t="s">
        <v>620</v>
      </c>
      <c r="D41" s="126" t="s">
        <v>102</v>
      </c>
      <c r="E41" s="96">
        <v>33</v>
      </c>
      <c r="F41" s="143">
        <v>0</v>
      </c>
      <c r="G41" s="96">
        <f t="shared" si="0"/>
        <v>0</v>
      </c>
      <c r="H41" s="169" t="s">
        <v>580</v>
      </c>
    </row>
    <row r="42" spans="1:8" ht="25.5" customHeight="1">
      <c r="A42" s="99" t="s">
        <v>621</v>
      </c>
      <c r="B42" s="127">
        <v>741313241</v>
      </c>
      <c r="C42" s="138" t="s">
        <v>622</v>
      </c>
      <c r="D42" s="128" t="s">
        <v>102</v>
      </c>
      <c r="E42" s="96">
        <v>9</v>
      </c>
      <c r="F42" s="143">
        <v>0</v>
      </c>
      <c r="G42" s="96">
        <f t="shared" si="0"/>
        <v>0</v>
      </c>
      <c r="H42" s="109" t="s">
        <v>580</v>
      </c>
    </row>
    <row r="43" spans="1:8" ht="15">
      <c r="A43" s="99"/>
      <c r="B43" s="96"/>
      <c r="C43" s="103"/>
      <c r="D43" s="96"/>
      <c r="E43" s="96"/>
      <c r="F43" s="96"/>
      <c r="G43" s="96"/>
      <c r="H43" s="98"/>
    </row>
    <row r="44" spans="1:8" ht="15">
      <c r="A44" s="95" t="s">
        <v>542</v>
      </c>
      <c r="B44" s="100"/>
      <c r="C44" s="97"/>
      <c r="D44" s="96"/>
      <c r="E44" s="96"/>
      <c r="F44" s="96"/>
      <c r="G44" s="96"/>
      <c r="H44" s="98"/>
    </row>
    <row r="45" spans="1:8" ht="15">
      <c r="A45" s="99"/>
      <c r="B45" s="100"/>
      <c r="C45" s="102"/>
      <c r="D45" s="96"/>
      <c r="E45" s="96"/>
      <c r="F45" s="96"/>
      <c r="G45" s="96"/>
      <c r="H45" s="98"/>
    </row>
    <row r="46" spans="1:8" ht="51">
      <c r="A46" s="99" t="s">
        <v>623</v>
      </c>
      <c r="B46" s="141">
        <v>741110042</v>
      </c>
      <c r="C46" s="178" t="s">
        <v>624</v>
      </c>
      <c r="D46" s="143" t="s">
        <v>358</v>
      </c>
      <c r="E46" s="168">
        <v>4</v>
      </c>
      <c r="F46" s="143">
        <v>0</v>
      </c>
      <c r="G46" s="96">
        <f t="shared" si="0"/>
        <v>0</v>
      </c>
      <c r="H46" s="109" t="s">
        <v>580</v>
      </c>
    </row>
    <row r="47" spans="1:8" ht="33.75">
      <c r="A47" s="99" t="s">
        <v>625</v>
      </c>
      <c r="B47" s="107">
        <v>741110511</v>
      </c>
      <c r="C47" s="120" t="s">
        <v>626</v>
      </c>
      <c r="D47" s="143" t="s">
        <v>358</v>
      </c>
      <c r="E47" s="168">
        <v>137</v>
      </c>
      <c r="F47" s="143">
        <v>0</v>
      </c>
      <c r="G47" s="96">
        <f t="shared" si="0"/>
        <v>0</v>
      </c>
      <c r="H47" s="169" t="s">
        <v>580</v>
      </c>
    </row>
    <row r="48" spans="1:8" ht="22.5">
      <c r="A48" s="99" t="s">
        <v>627</v>
      </c>
      <c r="B48" s="141">
        <v>741910502</v>
      </c>
      <c r="C48" s="138" t="s">
        <v>628</v>
      </c>
      <c r="D48" s="131" t="s">
        <v>554</v>
      </c>
      <c r="E48" s="113">
        <v>1</v>
      </c>
      <c r="F48" s="143">
        <v>0</v>
      </c>
      <c r="G48" s="96">
        <f t="shared" si="0"/>
        <v>0</v>
      </c>
      <c r="H48" s="169" t="s">
        <v>580</v>
      </c>
    </row>
    <row r="49" spans="1:8" ht="33.75">
      <c r="A49" s="99" t="s">
        <v>629</v>
      </c>
      <c r="B49" s="141">
        <v>460932111</v>
      </c>
      <c r="C49" s="138" t="s">
        <v>630</v>
      </c>
      <c r="D49" s="143" t="s">
        <v>102</v>
      </c>
      <c r="E49" s="168">
        <v>540</v>
      </c>
      <c r="F49" s="143">
        <v>0</v>
      </c>
      <c r="G49" s="96">
        <f t="shared" si="0"/>
        <v>0</v>
      </c>
      <c r="H49" s="109" t="s">
        <v>580</v>
      </c>
    </row>
    <row r="50" spans="1:8" ht="33.75">
      <c r="A50" s="99" t="s">
        <v>631</v>
      </c>
      <c r="B50" s="110">
        <v>741112061</v>
      </c>
      <c r="C50" s="138" t="s">
        <v>632</v>
      </c>
      <c r="D50" s="131" t="s">
        <v>102</v>
      </c>
      <c r="E50" s="137">
        <v>57</v>
      </c>
      <c r="F50" s="143">
        <v>0</v>
      </c>
      <c r="G50" s="96">
        <f t="shared" si="0"/>
        <v>0</v>
      </c>
      <c r="H50" s="169" t="s">
        <v>580</v>
      </c>
    </row>
    <row r="51" spans="1:8" ht="33.75">
      <c r="A51" s="99" t="s">
        <v>633</v>
      </c>
      <c r="B51" s="107">
        <v>741110511</v>
      </c>
      <c r="C51" s="120" t="s">
        <v>626</v>
      </c>
      <c r="D51" s="143" t="s">
        <v>358</v>
      </c>
      <c r="E51" s="168">
        <v>22</v>
      </c>
      <c r="F51" s="143">
        <v>0</v>
      </c>
      <c r="G51" s="96">
        <f t="shared" si="0"/>
        <v>0</v>
      </c>
      <c r="H51" s="169" t="s">
        <v>580</v>
      </c>
    </row>
    <row r="52" spans="1:8" ht="22.5">
      <c r="A52" s="99" t="s">
        <v>634</v>
      </c>
      <c r="B52" s="179">
        <v>741112101</v>
      </c>
      <c r="C52" s="120" t="s">
        <v>635</v>
      </c>
      <c r="D52" s="131" t="s">
        <v>102</v>
      </c>
      <c r="E52" s="134">
        <v>41</v>
      </c>
      <c r="F52" s="143">
        <v>0</v>
      </c>
      <c r="G52" s="96">
        <f t="shared" si="0"/>
        <v>0</v>
      </c>
      <c r="H52" s="109" t="s">
        <v>580</v>
      </c>
    </row>
    <row r="53" spans="1:8" ht="15">
      <c r="A53" s="99"/>
      <c r="B53" s="127"/>
      <c r="C53" s="113"/>
      <c r="D53" s="131"/>
      <c r="E53" s="134"/>
      <c r="F53" s="134"/>
      <c r="G53" s="96"/>
      <c r="H53" s="98"/>
    </row>
    <row r="54" spans="1:8" ht="15">
      <c r="A54" s="95" t="s">
        <v>563</v>
      </c>
      <c r="B54" s="100"/>
      <c r="C54" s="102"/>
      <c r="D54" s="96"/>
      <c r="E54" s="96"/>
      <c r="F54" s="96"/>
      <c r="G54" s="96"/>
      <c r="H54" s="109"/>
    </row>
    <row r="55" spans="1:8" ht="15">
      <c r="A55" s="99"/>
      <c r="B55" s="100"/>
      <c r="C55" s="102"/>
      <c r="D55" s="96"/>
      <c r="E55" s="96"/>
      <c r="F55" s="96"/>
      <c r="G55" s="96"/>
      <c r="H55" s="109"/>
    </row>
    <row r="56" spans="1:8" ht="33.75">
      <c r="A56" s="99" t="s">
        <v>636</v>
      </c>
      <c r="B56" s="118">
        <v>741372062</v>
      </c>
      <c r="C56" s="120" t="s">
        <v>637</v>
      </c>
      <c r="D56" s="101" t="s">
        <v>102</v>
      </c>
      <c r="E56" s="180">
        <v>65</v>
      </c>
      <c r="F56" s="143">
        <v>0</v>
      </c>
      <c r="G56" s="96">
        <f t="shared" si="0"/>
        <v>0</v>
      </c>
      <c r="H56" s="109" t="s">
        <v>580</v>
      </c>
    </row>
    <row r="57" spans="1:8" ht="15">
      <c r="A57" s="99" t="s">
        <v>638</v>
      </c>
      <c r="B57" s="118" t="s">
        <v>639</v>
      </c>
      <c r="C57" s="138" t="s">
        <v>640</v>
      </c>
      <c r="D57" s="96" t="s">
        <v>584</v>
      </c>
      <c r="E57" s="123">
        <v>9</v>
      </c>
      <c r="F57" s="143">
        <v>0</v>
      </c>
      <c r="G57" s="96">
        <f t="shared" si="0"/>
        <v>0</v>
      </c>
      <c r="H57" s="109" t="s">
        <v>585</v>
      </c>
    </row>
    <row r="58" spans="1:8" ht="15">
      <c r="A58" s="99"/>
      <c r="B58" s="139"/>
      <c r="C58" s="97"/>
      <c r="D58" s="96"/>
      <c r="E58" s="96"/>
      <c r="F58" s="96"/>
      <c r="G58" s="96"/>
      <c r="H58" s="109"/>
    </row>
    <row r="59" spans="1:8" ht="15">
      <c r="A59" s="95" t="s">
        <v>641</v>
      </c>
      <c r="B59" s="139"/>
      <c r="C59" s="97"/>
      <c r="D59" s="96"/>
      <c r="E59" s="96"/>
      <c r="F59" s="96"/>
      <c r="G59" s="96"/>
      <c r="H59" s="109"/>
    </row>
    <row r="60" spans="1:8" ht="15">
      <c r="A60" s="99"/>
      <c r="B60" s="139"/>
      <c r="C60" s="97"/>
      <c r="D60" s="96"/>
      <c r="E60" s="96"/>
      <c r="F60" s="96"/>
      <c r="G60" s="96"/>
      <c r="H60" s="109"/>
    </row>
    <row r="61" spans="1:8" ht="38.25">
      <c r="A61" s="99" t="s">
        <v>642</v>
      </c>
      <c r="B61" s="139" t="s">
        <v>643</v>
      </c>
      <c r="C61" s="97" t="s">
        <v>644</v>
      </c>
      <c r="D61" s="96" t="s">
        <v>584</v>
      </c>
      <c r="E61" s="96">
        <v>50</v>
      </c>
      <c r="F61" s="143">
        <v>0</v>
      </c>
      <c r="G61" s="96">
        <f t="shared" si="0"/>
        <v>0</v>
      </c>
      <c r="H61" s="109" t="s">
        <v>585</v>
      </c>
    </row>
    <row r="62" spans="1:8" ht="15">
      <c r="A62" s="99"/>
      <c r="B62" s="139"/>
      <c r="C62" s="97"/>
      <c r="D62" s="96"/>
      <c r="E62" s="96"/>
      <c r="F62" s="96"/>
      <c r="G62" s="96"/>
      <c r="H62" s="109"/>
    </row>
    <row r="63" spans="1:8" ht="15">
      <c r="A63" s="140" t="s">
        <v>571</v>
      </c>
      <c r="B63" s="131"/>
      <c r="C63" s="141"/>
      <c r="D63" s="123"/>
      <c r="E63" s="142"/>
      <c r="F63" s="143"/>
      <c r="G63" s="96"/>
      <c r="H63" s="98"/>
    </row>
    <row r="64" spans="1:8" ht="15">
      <c r="A64" s="144"/>
      <c r="B64" s="131"/>
      <c r="C64" s="141"/>
      <c r="D64" s="123"/>
      <c r="E64" s="142"/>
      <c r="F64" s="143"/>
      <c r="G64" s="96"/>
      <c r="H64" s="98"/>
    </row>
    <row r="65" spans="1:8" ht="15">
      <c r="A65" s="144" t="s">
        <v>645</v>
      </c>
      <c r="B65" s="127" t="s">
        <v>646</v>
      </c>
      <c r="C65" s="181" t="s">
        <v>647</v>
      </c>
      <c r="D65" s="182" t="s">
        <v>584</v>
      </c>
      <c r="E65" s="183">
        <v>2</v>
      </c>
      <c r="F65" s="143">
        <v>0</v>
      </c>
      <c r="G65" s="96">
        <f t="shared" si="0"/>
        <v>0</v>
      </c>
      <c r="H65" s="184" t="s">
        <v>585</v>
      </c>
    </row>
    <row r="66" spans="1:8" ht="25.5">
      <c r="A66" s="144" t="s">
        <v>648</v>
      </c>
      <c r="B66" s="127" t="s">
        <v>649</v>
      </c>
      <c r="C66" s="185" t="s">
        <v>650</v>
      </c>
      <c r="D66" s="113" t="s">
        <v>584</v>
      </c>
      <c r="E66" s="130">
        <v>17</v>
      </c>
      <c r="F66" s="143">
        <v>0</v>
      </c>
      <c r="G66" s="96">
        <f t="shared" si="0"/>
        <v>0</v>
      </c>
      <c r="H66" s="98" t="s">
        <v>585</v>
      </c>
    </row>
    <row r="67" spans="1:8" ht="15">
      <c r="A67" s="144" t="s">
        <v>651</v>
      </c>
      <c r="B67" s="127" t="s">
        <v>652</v>
      </c>
      <c r="C67" s="185" t="s">
        <v>653</v>
      </c>
      <c r="D67" s="131" t="s">
        <v>584</v>
      </c>
      <c r="E67" s="130">
        <v>6</v>
      </c>
      <c r="F67" s="143">
        <v>0</v>
      </c>
      <c r="G67" s="96">
        <f t="shared" si="0"/>
        <v>0</v>
      </c>
      <c r="H67" s="98" t="s">
        <v>585</v>
      </c>
    </row>
    <row r="68" spans="1:8" ht="15">
      <c r="A68" s="144" t="s">
        <v>654</v>
      </c>
      <c r="B68" s="127" t="s">
        <v>655</v>
      </c>
      <c r="C68" s="186" t="s">
        <v>656</v>
      </c>
      <c r="D68" s="187" t="s">
        <v>584</v>
      </c>
      <c r="E68" s="137">
        <v>50</v>
      </c>
      <c r="F68" s="143">
        <v>0</v>
      </c>
      <c r="G68" s="96">
        <f t="shared" si="0"/>
        <v>0</v>
      </c>
      <c r="H68" s="98" t="s">
        <v>585</v>
      </c>
    </row>
    <row r="69" spans="1:8" ht="15">
      <c r="A69" s="144" t="s">
        <v>657</v>
      </c>
      <c r="B69" s="127" t="s">
        <v>658</v>
      </c>
      <c r="C69" s="185" t="s">
        <v>659</v>
      </c>
      <c r="D69" s="131" t="s">
        <v>584</v>
      </c>
      <c r="E69" s="134">
        <v>2</v>
      </c>
      <c r="F69" s="143">
        <v>0</v>
      </c>
      <c r="G69" s="96">
        <f t="shared" si="0"/>
        <v>0</v>
      </c>
      <c r="H69" s="98" t="s">
        <v>585</v>
      </c>
    </row>
    <row r="70" spans="1:8" ht="33.75">
      <c r="A70" s="144" t="s">
        <v>660</v>
      </c>
      <c r="B70" s="110">
        <v>741810001</v>
      </c>
      <c r="C70" s="120" t="s">
        <v>661</v>
      </c>
      <c r="D70" s="101" t="s">
        <v>102</v>
      </c>
      <c r="E70" s="103">
        <v>1</v>
      </c>
      <c r="F70" s="143">
        <v>0</v>
      </c>
      <c r="G70" s="96">
        <f t="shared" si="0"/>
        <v>0</v>
      </c>
      <c r="H70" s="188" t="s">
        <v>580</v>
      </c>
    </row>
    <row r="71" spans="1:8" ht="25.5">
      <c r="A71" s="144" t="s">
        <v>662</v>
      </c>
      <c r="B71" s="127">
        <v>741820102</v>
      </c>
      <c r="C71" s="185" t="s">
        <v>663</v>
      </c>
      <c r="D71" s="131" t="s">
        <v>102</v>
      </c>
      <c r="E71" s="130">
        <v>2</v>
      </c>
      <c r="F71" s="143">
        <v>0</v>
      </c>
      <c r="G71" s="96">
        <f t="shared" si="0"/>
        <v>0</v>
      </c>
      <c r="H71" s="109" t="s">
        <v>580</v>
      </c>
    </row>
    <row r="72" spans="1:8" ht="13.5" thickBot="1">
      <c r="A72" s="147"/>
      <c r="B72" s="148"/>
      <c r="C72" s="149"/>
      <c r="D72" s="150"/>
      <c r="E72" s="151"/>
      <c r="F72" s="152"/>
      <c r="G72" s="153"/>
      <c r="H72" s="154"/>
    </row>
    <row r="73" spans="1:8" ht="15">
      <c r="A73" s="155"/>
      <c r="B73" s="156"/>
      <c r="C73" s="156"/>
      <c r="D73" s="157"/>
      <c r="E73" s="157"/>
      <c r="F73" s="157"/>
      <c r="G73" s="157"/>
      <c r="H73" s="158"/>
    </row>
    <row r="74" spans="1:8" ht="15">
      <c r="A74" s="159"/>
      <c r="B74" s="160" t="s">
        <v>664</v>
      </c>
      <c r="C74" s="160"/>
      <c r="D74" s="161"/>
      <c r="E74" s="161"/>
      <c r="F74" s="161"/>
      <c r="G74" s="161">
        <f>SUM(G9:G73)</f>
        <v>0</v>
      </c>
      <c r="H74" s="162"/>
    </row>
    <row r="75" spans="1:8" ht="13.5" thickBot="1">
      <c r="A75" s="163"/>
      <c r="B75" s="164"/>
      <c r="C75" s="164"/>
      <c r="D75" s="165"/>
      <c r="E75" s="165"/>
      <c r="F75" s="165"/>
      <c r="G75" s="165"/>
      <c r="H75" s="166"/>
    </row>
  </sheetData>
  <sheetProtection selectLockedCells="1" selectUnlockedCells="1"/>
  <mergeCells count="1">
    <mergeCell ref="F4:G4"/>
  </mergeCells>
  <printOptions/>
  <pageMargins left="0.7" right="0.7" top="0.7875" bottom="0.7875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Prokysek</cp:lastModifiedBy>
  <dcterms:created xsi:type="dcterms:W3CDTF">2021-06-10T20:06:38Z</dcterms:created>
  <dcterms:modified xsi:type="dcterms:W3CDTF">2024-04-26T10:39:07Z</dcterms:modified>
  <cp:category/>
  <cp:version/>
  <cp:contentType/>
  <cp:contentStatus/>
</cp:coreProperties>
</file>