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2"/>
  </bookViews>
  <sheets>
    <sheet name="Stavební rozpočet" sheetId="1" r:id="rId1"/>
    <sheet name="Rozpočet - vybrané sloupce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<sst xmlns="http://schemas.openxmlformats.org/spreadsheetml/2006/main" count="2049" uniqueCount="583">
  <si>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</si>
  <si>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</si>
  <si>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</si>
  <si>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</si>
  <si>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</si>
  <si>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</si>
  <si>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</si>
  <si>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</si>
  <si>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</si>
  <si>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</si>
  <si>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</si>
  <si>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</si>
  <si>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</si>
  <si>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</si>
  <si>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</si>
  <si>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</si>
  <si>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</si>
  <si>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</si>
  <si>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</si>
  <si>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</si>
  <si>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</si>
  <si>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</si>
  <si>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</si>
  <si>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</si>
  <si>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</si>
  <si>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</si>
  <si>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</si>
  <si>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</si>
  <si>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</si>
  <si>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</si>
  <si>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</si>
  <si>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</si>
  <si>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</si>
  <si>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</si>
  <si>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</si>
  <si>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</si>
  <si>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</si>
  <si>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</si>
  <si>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</si>
  <si>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</si>
  <si>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</si>
  <si>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</si>
  <si>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</si>
  <si>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</si>
  <si>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</si>
  <si>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</si>
  <si>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</si>
  <si>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</si>
  <si>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</si>
  <si>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</si>
  <si>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</si>
  <si>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</si>
  <si>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</si>
  <si>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</si>
  <si>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</si>
  <si>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</si>
  <si>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</si>
  <si>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</si>
  <si>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</si>
  <si>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</si>
  <si>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</si>
  <si>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</si>
  <si>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</si>
  <si>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</si>
  <si>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</si>
  <si>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</si>
  <si>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</si>
  <si>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</si>
  <si>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</si>
  <si>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</si>
  <si>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</si>
  <si>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</si>
  <si>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</si>
  <si>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</si>
  <si>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</si>
  <si>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</si>
  <si>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</si>
  <si>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</si>
  <si>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</si>
  <si>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</si>
  <si>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</si>
  <si>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</si>
  <si>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</si>
  <si>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</si>
  <si>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</si>
  <si>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</si>
  <si>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</si>
  <si>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</si>
  <si>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</si>
  <si>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</si>
  <si>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</si>
  <si>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</si>
  <si>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</si>
  <si>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</si>
  <si>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</si>
  <si>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</si>
  <si>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</si>
  <si>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</si>
  <si>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</si>
  <si>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</si>
  <si>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</si>
  <si>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</si>
  <si>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</si>
  <si>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</si>
  <si>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</si>
  <si>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</si>
  <si>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</si>
  <si>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</si>
  <si>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</si>
  <si>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</si>
  <si>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</si>
  <si>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</si>
  <si>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</si>
  <si>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</si>
  <si>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</si>
  <si>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</si>
  <si>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</si>
  <si>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</si>
  <si>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</si>
  <si>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</si>
  <si>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</si>
  <si>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</si>
  <si>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</si>
  <si>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Poznámka:</t>
  </si>
  <si>
    <t>Objekt</t>
  </si>
  <si>
    <t>Kód</t>
  </si>
  <si>
    <t>110000001VD</t>
  </si>
  <si>
    <t>11000002VD</t>
  </si>
  <si>
    <t>110VD</t>
  </si>
  <si>
    <t>1122VDVD</t>
  </si>
  <si>
    <t>113107530R00</t>
  </si>
  <si>
    <t>119001421R00</t>
  </si>
  <si>
    <t>119001401R00</t>
  </si>
  <si>
    <t>111301111R00</t>
  </si>
  <si>
    <t>115101201R00</t>
  </si>
  <si>
    <t>115101301R00</t>
  </si>
  <si>
    <t>113151111R00</t>
  </si>
  <si>
    <t>125703303R00</t>
  </si>
  <si>
    <t>130001101R00</t>
  </si>
  <si>
    <t>130901123RT3</t>
  </si>
  <si>
    <t>132201211R00</t>
  </si>
  <si>
    <t>132201219R00</t>
  </si>
  <si>
    <t>139601102R00</t>
  </si>
  <si>
    <t>132301211R00</t>
  </si>
  <si>
    <t>132301219R00</t>
  </si>
  <si>
    <t>132201401R00</t>
  </si>
  <si>
    <t>151101101R00</t>
  </si>
  <si>
    <t>151101111R00</t>
  </si>
  <si>
    <t>167101101R00</t>
  </si>
  <si>
    <t>162201102R00</t>
  </si>
  <si>
    <t>162201204R00</t>
  </si>
  <si>
    <t>174100010RAA</t>
  </si>
  <si>
    <t>171201101R00</t>
  </si>
  <si>
    <t>175101101RT2</t>
  </si>
  <si>
    <t>180402111R00</t>
  </si>
  <si>
    <t>182001111R00</t>
  </si>
  <si>
    <t>181300010RAA</t>
  </si>
  <si>
    <t>274272120RT4</t>
  </si>
  <si>
    <t>274361215R00</t>
  </si>
  <si>
    <t>289300002VD</t>
  </si>
  <si>
    <t>289300008VD</t>
  </si>
  <si>
    <t>310236261RT1</t>
  </si>
  <si>
    <t>310235261RT2</t>
  </si>
  <si>
    <t>311921111R00</t>
  </si>
  <si>
    <t>311271187RT4</t>
  </si>
  <si>
    <t>338171112R00</t>
  </si>
  <si>
    <t>342948111R00</t>
  </si>
  <si>
    <t>457311118R00</t>
  </si>
  <si>
    <t>566903111R00</t>
  </si>
  <si>
    <t>564782111R00</t>
  </si>
  <si>
    <t>584921121R00</t>
  </si>
  <si>
    <t>599441111R00</t>
  </si>
  <si>
    <t>612401391RT2</t>
  </si>
  <si>
    <t>612471101RAC</t>
  </si>
  <si>
    <t>612481211R00</t>
  </si>
  <si>
    <t>612421431RT2</t>
  </si>
  <si>
    <t>611421431RT2</t>
  </si>
  <si>
    <t>622451131R00</t>
  </si>
  <si>
    <t>620452101R00</t>
  </si>
  <si>
    <t>620411135R00</t>
  </si>
  <si>
    <t>631313621RM1</t>
  </si>
  <si>
    <t>631313711RM1</t>
  </si>
  <si>
    <t>642942111RT4</t>
  </si>
  <si>
    <t>711</t>
  </si>
  <si>
    <t>711112001RZ1</t>
  </si>
  <si>
    <t>711142559RZ4</t>
  </si>
  <si>
    <t>711132101RT1</t>
  </si>
  <si>
    <t>715</t>
  </si>
  <si>
    <t>715101811R00</t>
  </si>
  <si>
    <t>721</t>
  </si>
  <si>
    <t>721176214R00</t>
  </si>
  <si>
    <t>733</t>
  </si>
  <si>
    <t>7330001VD</t>
  </si>
  <si>
    <t>767</t>
  </si>
  <si>
    <t>767900040RA0</t>
  </si>
  <si>
    <t>767911130RT1</t>
  </si>
  <si>
    <t>784</t>
  </si>
  <si>
    <t>784195212R00</t>
  </si>
  <si>
    <t>871200001VD</t>
  </si>
  <si>
    <t>871200002VD</t>
  </si>
  <si>
    <t>871200003VD</t>
  </si>
  <si>
    <t>871200004VD</t>
  </si>
  <si>
    <t>871200005VD</t>
  </si>
  <si>
    <t>871200006VD</t>
  </si>
  <si>
    <t>871200007VD</t>
  </si>
  <si>
    <t>871200008VD</t>
  </si>
  <si>
    <t>871200009VD</t>
  </si>
  <si>
    <t>871200010VD</t>
  </si>
  <si>
    <t>871200011VD</t>
  </si>
  <si>
    <t>871200012VD</t>
  </si>
  <si>
    <t>871200013VD</t>
  </si>
  <si>
    <t>899401112R00</t>
  </si>
  <si>
    <t>899731111R00</t>
  </si>
  <si>
    <t>919731112R00</t>
  </si>
  <si>
    <t>919735123R00</t>
  </si>
  <si>
    <t>919735124R00</t>
  </si>
  <si>
    <t>938902123R00</t>
  </si>
  <si>
    <t>965043331RT2</t>
  </si>
  <si>
    <t>965043431RT1</t>
  </si>
  <si>
    <t>968072455R00</t>
  </si>
  <si>
    <t>968071125R00</t>
  </si>
  <si>
    <t>970051250R00</t>
  </si>
  <si>
    <t>970051060R00</t>
  </si>
  <si>
    <t>971042121R00</t>
  </si>
  <si>
    <t>H01</t>
  </si>
  <si>
    <t>998011001R00</t>
  </si>
  <si>
    <t>H27</t>
  </si>
  <si>
    <t>998272201R00</t>
  </si>
  <si>
    <t>M21</t>
  </si>
  <si>
    <t>210000001VD</t>
  </si>
  <si>
    <t>M22</t>
  </si>
  <si>
    <t>220060651R00</t>
  </si>
  <si>
    <t>M46</t>
  </si>
  <si>
    <t>460490012RT1</t>
  </si>
  <si>
    <t>460300006RT1</t>
  </si>
  <si>
    <t>460420022RT3</t>
  </si>
  <si>
    <t>460420041RT3</t>
  </si>
  <si>
    <t>S</t>
  </si>
  <si>
    <t>979013112R00</t>
  </si>
  <si>
    <t>979081111R00</t>
  </si>
  <si>
    <t>979081121R00</t>
  </si>
  <si>
    <t>979990001R00</t>
  </si>
  <si>
    <t>979990108R00</t>
  </si>
  <si>
    <t>42200750</t>
  </si>
  <si>
    <t>59300001VD</t>
  </si>
  <si>
    <t>59300002VD</t>
  </si>
  <si>
    <t>31171805.A</t>
  </si>
  <si>
    <t>63127282</t>
  </si>
  <si>
    <t>611601203</t>
  </si>
  <si>
    <t>Rekonstrukce rozvodů horkovodů, PST, vodovodu</t>
  </si>
  <si>
    <t>Rekonstrukce</t>
  </si>
  <si>
    <t>Plzeň</t>
  </si>
  <si>
    <t>Zkrácený popis / Varianta</t>
  </si>
  <si>
    <t>Rozměry</t>
  </si>
  <si>
    <t>Přípravné a přidružené práce</t>
  </si>
  <si>
    <t>Vytyčení ing sítí</t>
  </si>
  <si>
    <t>Geodetické zaměření stavby</t>
  </si>
  <si>
    <t>Ohražení staveniště, přejezdy, lávky</t>
  </si>
  <si>
    <t>kryje NUS</t>
  </si>
  <si>
    <t>Hutnící zkouška</t>
  </si>
  <si>
    <t>Odstranění podkladu pl. 50 m2,kam.drcené tl.30 cm</t>
  </si>
  <si>
    <t>Dočasné zajištění kabelů - do počtu 3 kabelů</t>
  </si>
  <si>
    <t>Dočasné zajištění ocelového potrubí do DN 200 mm</t>
  </si>
  <si>
    <t>Sejmutí drnu tl. do 10 cm, s přemístěním do 50 m</t>
  </si>
  <si>
    <t>Čerpání vody na výšku do 10 m, přítok do 500 l</t>
  </si>
  <si>
    <t>Pohotovost čerp.soupravy, výška 10 m, přítok 500 l</t>
  </si>
  <si>
    <t>Rozebrání ploch ze silničních panelů</t>
  </si>
  <si>
    <t>Odkopávky a prokopávky</t>
  </si>
  <si>
    <t>Čištění kanálů s dnem z tvárnic, tl. vrstvy 25 cm</t>
  </si>
  <si>
    <t>Hloubené vykopávky</t>
  </si>
  <si>
    <t>Příplatek za ztížené hloubení v blízkosti vedení</t>
  </si>
  <si>
    <t>Bourání konstrukcí ze železobetonu ve vykopávkách</t>
  </si>
  <si>
    <t>bagrem s kladivem</t>
  </si>
  <si>
    <t>Hloubení rýh š.do 200 cm hor.3 do 100 m3,STROJNĚ</t>
  </si>
  <si>
    <t>Přípl.za lepivost,hloubení rýh 200cm,hor.3,STROJNĚ</t>
  </si>
  <si>
    <t>Ruční výkop jam, rýh a šachet v hornině tř. 3</t>
  </si>
  <si>
    <t>Hloubení rýh š.do 200 cm hor.4 do 100 m3, STROJNĚ</t>
  </si>
  <si>
    <t>Přípl.za lepivost,hloubení rýh 200cm,hor.4,STROJNĚ</t>
  </si>
  <si>
    <t>Hloubený výkop pod základy v hor.3</t>
  </si>
  <si>
    <t>Roubení</t>
  </si>
  <si>
    <t>Pažení a rozepření stěn rýh - příložné - hl. do 2m</t>
  </si>
  <si>
    <t>Odstranění paženi stěn rýh - příložné - hl. do 2 m</t>
  </si>
  <si>
    <t>Přemístění výkopku</t>
  </si>
  <si>
    <t>Nakládání výkopku z hor.1-4 v množství do 100 m3</t>
  </si>
  <si>
    <t>na mezideponii</t>
  </si>
  <si>
    <t>Vodorovné přemístění výkopku z hor.1-4 do 50 m</t>
  </si>
  <si>
    <t>Vodorovné přemíst. výkopku, kbelík hor.1-4, do 10m</t>
  </si>
  <si>
    <t>nošení písku do kolektoru</t>
  </si>
  <si>
    <t>Konstrukce ze zemin</t>
  </si>
  <si>
    <t>Zásyp jam, rýh a šachet sypaninou</t>
  </si>
  <si>
    <t>dovoz sypaniny ze vzdálenosti 50 m</t>
  </si>
  <si>
    <t>Uložení sypaniny do násypů nezhutněných</t>
  </si>
  <si>
    <t>Obsyp potrubí bez prohození sypaniny</t>
  </si>
  <si>
    <t>s dodáním štěrkopísku frakce 0 - 8 mm</t>
  </si>
  <si>
    <t>Povrchové úpravy terénu</t>
  </si>
  <si>
    <t>Založení trávníku parkového výsevem v rovině</t>
  </si>
  <si>
    <t>Plošná úprava terénu, nerovnosti do 10 cm v rovině</t>
  </si>
  <si>
    <t>Rozprostření ornice v rovině tloušťka 15 cm</t>
  </si>
  <si>
    <t>dovoz ornice ze vzdálenosti 500 m, osetí trávou</t>
  </si>
  <si>
    <t>Základy</t>
  </si>
  <si>
    <t>Zdivo základové z bednicích tvárnic, tl. 20 cm</t>
  </si>
  <si>
    <t>výplň tvárnic betonem C 20/25</t>
  </si>
  <si>
    <t>Výztuž základ. pásů do 12mm, ocel BSt 500S</t>
  </si>
  <si>
    <t>Zpevňování hornin a konstrukcí</t>
  </si>
  <si>
    <t>Tryskání ploch VVP ve stísněných prostorách</t>
  </si>
  <si>
    <t>Sanace podlahy - ochranný epoxidový nátěr se vsypem, včetně vysprávek podlahy</t>
  </si>
  <si>
    <t>Zdi podpěrné a volné</t>
  </si>
  <si>
    <t>Zazdívka otvorů pl. 0,09 m2 cihlami, tl. zdi 60 cm</t>
  </si>
  <si>
    <t>s použitím suché maltové směsi</t>
  </si>
  <si>
    <t>Zazdívka otvorů pl.0,0225 m2 cihlami, tl.zdi 60 cm</t>
  </si>
  <si>
    <t>Osazení betonových kvádříků do objemu 0,01 m3</t>
  </si>
  <si>
    <t>Zdivo z tvárnic Ytong pero - drážka tl. 30 cm</t>
  </si>
  <si>
    <t>tvárnice Ytong Standard, 599 x 249 x 300 mm</t>
  </si>
  <si>
    <t>Sloupy a pilíře, stožáry a rámové stojky</t>
  </si>
  <si>
    <t>Osazení sloupků plot.ocelových do 2 m,zabet.C25/30</t>
  </si>
  <si>
    <t>Stěny a příčky</t>
  </si>
  <si>
    <t>Ukotvení příček k cihel.konstr. kotvami na hmožd.</t>
  </si>
  <si>
    <t>Podkladní a vedlejší konstrukce (kromě vozovek a železničního svršku)</t>
  </si>
  <si>
    <t>Vyrovnávací beton výplňový nebo spádový C 25/30</t>
  </si>
  <si>
    <t>Podkladní vrstvy komunikací a zpevněných ploch</t>
  </si>
  <si>
    <t>Vyspravení podkladu po překopech kam.hrubě drceným</t>
  </si>
  <si>
    <t>Podklad z kam.drceného 32-63 s výplň.kamen. 30 cm</t>
  </si>
  <si>
    <t>Cementobetonové kryty komunikací a ploch</t>
  </si>
  <si>
    <t>Zřízení plochy ze silničních panelů lože kam.5 cm</t>
  </si>
  <si>
    <t>Dlažby a předlažby pozemních komunikací a zpevněných ploch</t>
  </si>
  <si>
    <t>Vyplnění spár mezi panely kamenivem těženým</t>
  </si>
  <si>
    <t>Úprava povrchů vnitřní</t>
  </si>
  <si>
    <t>Omítka malých ploch vnitřních stěn do 1 m2</t>
  </si>
  <si>
    <t>Omítka stěn vnitřní Cemix třívrstvá</t>
  </si>
  <si>
    <t>postřik, jádro 082 tl. 15 mm, štuk 033, lešení</t>
  </si>
  <si>
    <t>Montáž výztužné sítě(perlinky)do stěrky-vnit.stěny</t>
  </si>
  <si>
    <t>Oprava vápen.omítek stěn do 50 % pl. - štukových</t>
  </si>
  <si>
    <t>Oprava váp.omítek stropů do 50% plochy - štukových</t>
  </si>
  <si>
    <t>Úprava povrchů vnější</t>
  </si>
  <si>
    <t>Omítka vnější stěn, MC, hladká, složitost 1 - 2</t>
  </si>
  <si>
    <t>Vnější omítka s přísadou na zvýšení vodotěsn.rovná</t>
  </si>
  <si>
    <t>Nátěr vnější omítky akrylátový sl. 3, z lešení</t>
  </si>
  <si>
    <t>Podlahy a podlahové konstrukce</t>
  </si>
  <si>
    <t>Mazanina betonová tl. 8 - 12 cm C 20/25</t>
  </si>
  <si>
    <t>z betonu prostého</t>
  </si>
  <si>
    <t>Mazanina betonová tl. 8 - 12 cm C 25/30</t>
  </si>
  <si>
    <t>Výplně otvorů</t>
  </si>
  <si>
    <t>Osazení zárubní dveřních ocelových, pl. do 2,5 m2</t>
  </si>
  <si>
    <t>včetně dodávky zárubně  80 x 197 x 11 cm</t>
  </si>
  <si>
    <t>Izolace proti vodě a vlhkosti</t>
  </si>
  <si>
    <t>Izolace proti vlhkosti svis. nátěr ALP, za studena</t>
  </si>
  <si>
    <t>1x nátěr - včetně dodávky asfaltového laku</t>
  </si>
  <si>
    <t>Izolace proti vlhkosti svislá pásy přitavením</t>
  </si>
  <si>
    <t>2 vrstva - včetně dodávky Sklobit G</t>
  </si>
  <si>
    <t>Izolace proti vlhkosti svislá pásy na sucho</t>
  </si>
  <si>
    <t>1 vrstva - materiál ve specifikaci</t>
  </si>
  <si>
    <t>Izolace</t>
  </si>
  <si>
    <t>Odstranění izolace nad 1 m2, tmel asfalt.za horka</t>
  </si>
  <si>
    <t>Vnitřní kanalizace</t>
  </si>
  <si>
    <t>Potrubí KG odpadní svislé D 160 x 4,0 mm</t>
  </si>
  <si>
    <t>Rozvod potrubí</t>
  </si>
  <si>
    <t>Potrubní část HV celkem - dle PD technologie</t>
  </si>
  <si>
    <t>PST dle PD technologie</t>
  </si>
  <si>
    <t>PST 1 - dle PD technologie</t>
  </si>
  <si>
    <t>PST 2 - dle PD technologie</t>
  </si>
  <si>
    <t>PST 3 - dle PD technologie</t>
  </si>
  <si>
    <t>Konstrukce doplňkové stavební (zámečnické)</t>
  </si>
  <si>
    <t>Demontáž oplocení z pletiva</t>
  </si>
  <si>
    <t>Montáž oplocení z pletiva v.do 2,0 m,napínací drát</t>
  </si>
  <si>
    <t>vč. dodávky pletiva, napínacího drátu a napínáku</t>
  </si>
  <si>
    <t>Malby</t>
  </si>
  <si>
    <t>Malba tekutá Primalex Plus, bílá, 2 x</t>
  </si>
  <si>
    <t>Potrubí z trub plastických, skleněných a čedičových</t>
  </si>
  <si>
    <t>Trouba HDPE 110 x 10,0 mm SDR 11 PE 100 (6,0m)</t>
  </si>
  <si>
    <t>včetně montáže</t>
  </si>
  <si>
    <t>přírubová tvarovka s odbočkou T 100/100</t>
  </si>
  <si>
    <t>hrdlová tvarovka s přír. odb. systém 2000 HAWLE 110/110</t>
  </si>
  <si>
    <t>speciál příruba systém 2000 HAWLE DN 100</t>
  </si>
  <si>
    <t>spojka s přírubou SYNOFLEX HAWLE DN 100</t>
  </si>
  <si>
    <t>hrdlová spojka SYNOFLEX HAWLE DN 100</t>
  </si>
  <si>
    <t>elektrospojka d=110 mm</t>
  </si>
  <si>
    <t>elektrokoleno 90° d=110 mm</t>
  </si>
  <si>
    <t>elektrozáslepka d=110 mm</t>
  </si>
  <si>
    <t>šoupátko HAWLE DN 100</t>
  </si>
  <si>
    <t>zemní souprava HAWLE DN 10, krytí 1,3 - 1,8m</t>
  </si>
  <si>
    <t>uliční poklop samonivelační HAWLE kasi</t>
  </si>
  <si>
    <t>výřezy stávajícíhho vodovodního potrubí</t>
  </si>
  <si>
    <t>Ostatní konstrukce a práce na trubním vedení</t>
  </si>
  <si>
    <t>Osazení poklopů litinových šoupátkových</t>
  </si>
  <si>
    <t>Vodič signalizační CYY 1,5 mm2</t>
  </si>
  <si>
    <t>Doplňující konstrukce a práce na pozemních komunikacích a zpevněných plochách</t>
  </si>
  <si>
    <t>Zarovnání styčné plochy z betonu tl. do 15 cm</t>
  </si>
  <si>
    <t>Řezání stávajícího betonového krytu tl. 10 - 15 cm</t>
  </si>
  <si>
    <t>Řezání stávajícího betonového krytu tl. 15 - 20 cm</t>
  </si>
  <si>
    <t>Různé dokončovací konstrukce a práce inženýrských staveb</t>
  </si>
  <si>
    <t>Čištění ploch betonových konstrukcí ocel. kartáči</t>
  </si>
  <si>
    <t>Bourání konstrukcí</t>
  </si>
  <si>
    <t>Bourání podkladů bet., potěr tl. 10 cm, pl. 4 m2</t>
  </si>
  <si>
    <t>mazanina tl. 8 - 10 cm s potěrem</t>
  </si>
  <si>
    <t>Bourání podkladů bet., potěr tl. 15 cm, pl. 4 m2</t>
  </si>
  <si>
    <t>mazanina tl. 10 - 15 cm s potěrem</t>
  </si>
  <si>
    <t>Vybourání kovových dveřních zárubní pl. do 2 m2</t>
  </si>
  <si>
    <t>Vyvěšení, zavěšení kovových křídel dveří pl. 2 m2</t>
  </si>
  <si>
    <t>Prorážení otvorů a ostatní bourací práce</t>
  </si>
  <si>
    <t>Vrtání jádrové do ŽB do D 250 mm</t>
  </si>
  <si>
    <t>Vrtání jádrové do ŽB do D 60 mm</t>
  </si>
  <si>
    <t>Vrtání otvorů, zdi betonové, do 3 cm, hl. do 15 cm</t>
  </si>
  <si>
    <t>Budovy občanské výstavby</t>
  </si>
  <si>
    <t>Přesun hmot pro budovy zděné výšky do 6 m</t>
  </si>
  <si>
    <t>Vedení trubní dálková a přípojná</t>
  </si>
  <si>
    <t>Přesun hmot, trubní vedení ocelové, otevřený výkop</t>
  </si>
  <si>
    <t>Elektromontáže</t>
  </si>
  <si>
    <t>Elektromontážní práce</t>
  </si>
  <si>
    <t>manipulace se stávajícími kabely</t>
  </si>
  <si>
    <t>Montáže sdělovací a zabezpečovací techniky</t>
  </si>
  <si>
    <t>Uložení kabelu na potrubí HDPE 110mm</t>
  </si>
  <si>
    <t>vodič signalizační - vodovod</t>
  </si>
  <si>
    <t>Zemní práce při montážích</t>
  </si>
  <si>
    <t>Zakrytí kabelu, vodovodu výstražnou folií PVC, šířka 33 cm</t>
  </si>
  <si>
    <t>fólie PVC šířka 33 cm</t>
  </si>
  <si>
    <t>Hutnění zeminy po vrstvách 20 cm</t>
  </si>
  <si>
    <t>hutnění po strojním záhrnu rýh</t>
  </si>
  <si>
    <t>Zřízení kab.lože v rýze do 30 cm z písku 10 cm</t>
  </si>
  <si>
    <t>lože tloušťky 20 cm</t>
  </si>
  <si>
    <t>Zřízení kab.lože v rýze 100 cm z pís./cem. 12 cm</t>
  </si>
  <si>
    <t>lože tloušťky 15 cm v kolektorech</t>
  </si>
  <si>
    <t>Přesuny sutí</t>
  </si>
  <si>
    <t>Svislá doprava vybouraných hmot na H do 3,5 m</t>
  </si>
  <si>
    <t>Odvoz suti a vybour. hmot na skládku do 1 km</t>
  </si>
  <si>
    <t>Příplatek k odvozu za každý další 1 km</t>
  </si>
  <si>
    <t>Poplatek za skládku stavební suti</t>
  </si>
  <si>
    <t>Poplatek za skládku suti - železobeton</t>
  </si>
  <si>
    <t>Ostatní materiál</t>
  </si>
  <si>
    <t>HAWLE poklop uliční šoupátkový  - označení HV</t>
  </si>
  <si>
    <t>Deska betonová plná 900 x 150 x 50mm</t>
  </si>
  <si>
    <t>Deska betonová plná 600 x 150 x 50mm</t>
  </si>
  <si>
    <t>Kotva chemická - ampule maxima M24</t>
  </si>
  <si>
    <t>Bandáž skelná, perlinka s oky 6,5 x 6,5 mm,  50 m2</t>
  </si>
  <si>
    <t>Dveře vnitřní CPL 0,2 KLASIK plné 1kř. 80x197 cm</t>
  </si>
  <si>
    <t>Doba výstavby:</t>
  </si>
  <si>
    <t>Začátek výstavby:</t>
  </si>
  <si>
    <t>Konec výstavby:</t>
  </si>
  <si>
    <t>Zpracováno dne:</t>
  </si>
  <si>
    <t>M.j.</t>
  </si>
  <si>
    <t>soubor</t>
  </si>
  <si>
    <t>soub</t>
  </si>
  <si>
    <t>ks</t>
  </si>
  <si>
    <t>m2</t>
  </si>
  <si>
    <t>m</t>
  </si>
  <si>
    <t>hod</t>
  </si>
  <si>
    <t>den</t>
  </si>
  <si>
    <t>m3</t>
  </si>
  <si>
    <t>t</t>
  </si>
  <si>
    <t>kus</t>
  </si>
  <si>
    <t>Množství</t>
  </si>
  <si>
    <t> </t>
  </si>
  <si>
    <t>04.06.2019</t>
  </si>
  <si>
    <t>Jednot.</t>
  </si>
  <si>
    <t>cena (Kč)</t>
  </si>
  <si>
    <t>Objednatel:</t>
  </si>
  <si>
    <t>Projektant:</t>
  </si>
  <si>
    <t>Zhotovitel:</t>
  </si>
  <si>
    <t>Zpracoval:</t>
  </si>
  <si>
    <t>Náklady (Kč)</t>
  </si>
  <si>
    <t>Dodávka</t>
  </si>
  <si>
    <t>Celkem:</t>
  </si>
  <si>
    <t>Západočeská univerzita</t>
  </si>
  <si>
    <t>Ing. Jan Jelínek</t>
  </si>
  <si>
    <t>Montáž</t>
  </si>
  <si>
    <t>Celkem</t>
  </si>
  <si>
    <t>Hmotnost (t)</t>
  </si>
  <si>
    <t>Cenová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</si>
  <si>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</si>
  <si>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</si>
  <si>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</si>
  <si>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</si>
  <si>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</si>
  <si>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</si>
  <si>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</si>
  <si>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</si>
  <si>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</si>
  <si>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</si>
  <si>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</t>
  </si>
  <si>
    <t>11_</t>
  </si>
  <si>
    <t>12_</t>
  </si>
  <si>
    <t>13_</t>
  </si>
  <si>
    <t>15_</t>
  </si>
  <si>
    <t>16_</t>
  </si>
  <si>
    <t>17_</t>
  </si>
  <si>
    <t>18_</t>
  </si>
  <si>
    <t>27_</t>
  </si>
  <si>
    <t>28_</t>
  </si>
  <si>
    <t>31_</t>
  </si>
  <si>
    <t>33_</t>
  </si>
  <si>
    <t>34_</t>
  </si>
  <si>
    <t>45_</t>
  </si>
  <si>
    <t>56_</t>
  </si>
  <si>
    <t>58_</t>
  </si>
  <si>
    <t>59_</t>
  </si>
  <si>
    <t>61_</t>
  </si>
  <si>
    <t>62_</t>
  </si>
  <si>
    <t>63_</t>
  </si>
  <si>
    <t>64_</t>
  </si>
  <si>
    <t>711_</t>
  </si>
  <si>
    <t>715_</t>
  </si>
  <si>
    <t>721_</t>
  </si>
  <si>
    <t>733_</t>
  </si>
  <si>
    <t>767_</t>
  </si>
  <si>
    <t>784_</t>
  </si>
  <si>
    <t>87_</t>
  </si>
  <si>
    <t>89_</t>
  </si>
  <si>
    <t>91_</t>
  </si>
  <si>
    <t>93_</t>
  </si>
  <si>
    <t>96_</t>
  </si>
  <si>
    <t>97_</t>
  </si>
  <si>
    <t>H01_</t>
  </si>
  <si>
    <t>H27_</t>
  </si>
  <si>
    <t>M21_</t>
  </si>
  <si>
    <t>M22_</t>
  </si>
  <si>
    <t>M46_</t>
  </si>
  <si>
    <t>S_</t>
  </si>
  <si>
    <t>Z99999_</t>
  </si>
  <si>
    <t>1_</t>
  </si>
  <si>
    <t>2_</t>
  </si>
  <si>
    <t>3_</t>
  </si>
  <si>
    <t>4_</t>
  </si>
  <si>
    <t>5_</t>
  </si>
  <si>
    <t>6_</t>
  </si>
  <si>
    <t>71_</t>
  </si>
  <si>
    <t>72_</t>
  </si>
  <si>
    <t>73_</t>
  </si>
  <si>
    <t>76_</t>
  </si>
  <si>
    <t>78_</t>
  </si>
  <si>
    <t>8_</t>
  </si>
  <si>
    <t>9_</t>
  </si>
  <si>
    <t>Z_</t>
  </si>
  <si>
    <t>_</t>
  </si>
  <si>
    <t>MAT</t>
  </si>
  <si>
    <t>WORK</t>
  </si>
  <si>
    <t>CELK</t>
  </si>
  <si>
    <t>Jednotková cena (Kč)</t>
  </si>
  <si>
    <t>Náklady celkem (Kč)</t>
  </si>
  <si>
    <t>Jednotková hmotnost(t)</t>
  </si>
  <si>
    <t>Celková hmotnost(t)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</si>
  <si>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</si>
  <si>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</si>
  <si>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</si>
  <si>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</si>
  <si>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</si>
  <si>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</si>
  <si>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</si>
  <si>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</si>
  <si>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</si>
  <si>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</si>
  <si>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</si>
  <si>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</si>
  <si>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</si>
  <si>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</si>
  <si>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</si>
  <si>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</si>
  <si>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Zábor veř. prostrans</t>
  </si>
  <si>
    <t>Nepředvídat. náklady</t>
  </si>
  <si>
    <t>Dokumentace SP</t>
  </si>
  <si>
    <t>Koordinátor BOZP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</si>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</sst>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7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sz val="10"/>
      <color indexed="59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3" fillId="20" borderId="0" applyNumberFormat="0" applyBorder="0" applyAlignment="0" applyProtection="0"/>
    <xf numFmtId="0" fontId="34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0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2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left" vertical="center"/>
      <protection/>
    </xf>
    <xf numFmtId="4" fontId="6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11" fillId="34" borderId="26" xfId="0" applyNumberFormat="1" applyFont="1" applyFill="1" applyBorder="1" applyAlignment="1" applyProtection="1">
      <alignment horizontal="center" vertical="center"/>
      <protection/>
    </xf>
    <xf numFmtId="49" fontId="12" fillId="0" borderId="27" xfId="0" applyNumberFormat="1" applyFont="1" applyFill="1" applyBorder="1" applyAlignment="1" applyProtection="1">
      <alignment horizontal="left" vertical="center"/>
      <protection/>
    </xf>
    <xf numFmtId="49" fontId="12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49" fontId="13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" fontId="13" fillId="0" borderId="26" xfId="0" applyNumberFormat="1" applyFont="1" applyFill="1" applyBorder="1" applyAlignment="1" applyProtection="1">
      <alignment horizontal="right" vertical="center"/>
      <protection/>
    </xf>
    <xf numFmtId="49" fontId="13" fillId="0" borderId="26" xfId="0" applyNumberFormat="1" applyFont="1" applyFill="1" applyBorder="1" applyAlignment="1" applyProtection="1">
      <alignment horizontal="right" vertical="center"/>
      <protection/>
    </xf>
    <xf numFmtId="4" fontId="13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4" fontId="12" fillId="34" borderId="34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5" fillId="35" borderId="35" xfId="0" applyNumberFormat="1" applyFont="1" applyFill="1" applyBorder="1" applyAlignment="1" applyProtection="1">
      <alignment horizontal="left" vertical="center"/>
      <protection/>
    </xf>
    <xf numFmtId="4" fontId="5" fillId="35" borderId="35" xfId="0" applyNumberFormat="1" applyFont="1" applyFill="1" applyBorder="1" applyAlignment="1" applyProtection="1">
      <alignment horizontal="right" vertical="center"/>
      <protection/>
    </xf>
    <xf numFmtId="49" fontId="5" fillId="35" borderId="36" xfId="0" applyNumberFormat="1" applyFont="1" applyFill="1" applyBorder="1" applyAlignment="1" applyProtection="1">
      <alignment horizontal="right" vertic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37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8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38" xfId="0" applyNumberFormat="1" applyFont="1" applyFill="1" applyBorder="1" applyAlignment="1" applyProtection="1">
      <alignment horizontal="center" vertical="center"/>
      <protection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0" fontId="3" fillId="0" borderId="40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44" xfId="0" applyNumberFormat="1" applyFont="1" applyFill="1" applyBorder="1" applyAlignment="1" applyProtection="1">
      <alignment horizontal="left" vertical="center"/>
      <protection/>
    </xf>
    <xf numFmtId="49" fontId="3" fillId="0" borderId="45" xfId="0" applyNumberFormat="1" applyFont="1" applyFill="1" applyBorder="1" applyAlignment="1" applyProtection="1">
      <alignment horizontal="left" vertical="center"/>
      <protection/>
    </xf>
    <xf numFmtId="0" fontId="3" fillId="0" borderId="46" xfId="0" applyNumberFormat="1" applyFont="1" applyFill="1" applyBorder="1" applyAlignment="1" applyProtection="1">
      <alignment horizontal="left" vertical="center"/>
      <protection/>
    </xf>
    <xf numFmtId="0" fontId="3" fillId="0" borderId="29" xfId="0" applyNumberFormat="1" applyFont="1" applyFill="1" applyBorder="1" applyAlignment="1" applyProtection="1">
      <alignment horizontal="left" vertical="center"/>
      <protection/>
    </xf>
    <xf numFmtId="0" fontId="3" fillId="0" borderId="47" xfId="0" applyNumberFormat="1" applyFont="1" applyFill="1" applyBorder="1" applyAlignment="1" applyProtection="1">
      <alignment horizontal="left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49" fontId="3" fillId="33" borderId="12" xfId="0" applyNumberFormat="1" applyFont="1" applyFill="1" applyBorder="1" applyAlignment="1" applyProtection="1">
      <alignment horizontal="right" vertical="center"/>
      <protection/>
    </xf>
    <xf numFmtId="0" fontId="3" fillId="33" borderId="12" xfId="0" applyNumberFormat="1" applyFont="1" applyFill="1" applyBorder="1" applyAlignment="1" applyProtection="1">
      <alignment horizontal="right" vertical="center"/>
      <protection/>
    </xf>
    <xf numFmtId="4" fontId="3" fillId="33" borderId="12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0" fontId="3" fillId="33" borderId="0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9" fontId="5" fillId="35" borderId="36" xfId="0" applyNumberFormat="1" applyFont="1" applyFill="1" applyBorder="1" applyAlignment="1" applyProtection="1">
      <alignment horizontal="left" vertical="center"/>
      <protection/>
    </xf>
    <xf numFmtId="4" fontId="5" fillId="35" borderId="36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0" fontId="8" fillId="33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49" fontId="10" fillId="0" borderId="48" xfId="0" applyNumberFormat="1" applyFont="1" applyFill="1" applyBorder="1" applyAlignment="1" applyProtection="1">
      <alignment horizontal="center" vertical="center"/>
      <protection/>
    </xf>
    <xf numFmtId="0" fontId="10" fillId="0" borderId="48" xfId="0" applyNumberFormat="1" applyFont="1" applyFill="1" applyBorder="1" applyAlignment="1" applyProtection="1">
      <alignment horizontal="center" vertical="center"/>
      <protection/>
    </xf>
    <xf numFmtId="49" fontId="14" fillId="0" borderId="49" xfId="0" applyNumberFormat="1" applyFont="1" applyFill="1" applyBorder="1" applyAlignment="1" applyProtection="1">
      <alignment horizontal="left" vertical="center"/>
      <protection/>
    </xf>
    <xf numFmtId="0" fontId="14" fillId="0" borderId="34" xfId="0" applyNumberFormat="1" applyFont="1" applyFill="1" applyBorder="1" applyAlignment="1" applyProtection="1">
      <alignment horizontal="left" vertical="center"/>
      <protection/>
    </xf>
    <xf numFmtId="49" fontId="13" fillId="0" borderId="49" xfId="0" applyNumberFormat="1" applyFont="1" applyFill="1" applyBorder="1" applyAlignment="1" applyProtection="1">
      <alignment horizontal="left" vertical="center"/>
      <protection/>
    </xf>
    <xf numFmtId="0" fontId="13" fillId="0" borderId="34" xfId="0" applyNumberFormat="1" applyFont="1" applyFill="1" applyBorder="1" applyAlignment="1" applyProtection="1">
      <alignment horizontal="left" vertical="center"/>
      <protection/>
    </xf>
    <xf numFmtId="49" fontId="12" fillId="0" borderId="49" xfId="0" applyNumberFormat="1" applyFont="1" applyFill="1" applyBorder="1" applyAlignment="1" applyProtection="1">
      <alignment horizontal="left" vertical="center"/>
      <protection/>
    </xf>
    <xf numFmtId="0" fontId="12" fillId="0" borderId="34" xfId="0" applyNumberFormat="1" applyFont="1" applyFill="1" applyBorder="1" applyAlignment="1" applyProtection="1">
      <alignment horizontal="left" vertical="center"/>
      <protection/>
    </xf>
    <xf numFmtId="49" fontId="12" fillId="34" borderId="49" xfId="0" applyNumberFormat="1" applyFont="1" applyFill="1" applyBorder="1" applyAlignment="1" applyProtection="1">
      <alignment horizontal="left" vertical="center"/>
      <protection/>
    </xf>
    <xf numFmtId="0" fontId="12" fillId="34" borderId="48" xfId="0" applyNumberFormat="1" applyFont="1" applyFill="1" applyBorder="1" applyAlignment="1" applyProtection="1">
      <alignment horizontal="left" vertical="center"/>
      <protection/>
    </xf>
    <xf numFmtId="49" fontId="13" fillId="0" borderId="50" xfId="0" applyNumberFormat="1" applyFont="1" applyFill="1" applyBorder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51" xfId="0" applyNumberFormat="1" applyFont="1" applyFill="1" applyBorder="1" applyAlignment="1" applyProtection="1">
      <alignment horizontal="left" vertical="center"/>
      <protection/>
    </xf>
    <xf numFmtId="49" fontId="13" fillId="0" borderId="25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52" xfId="0" applyNumberFormat="1" applyFont="1" applyFill="1" applyBorder="1" applyAlignment="1" applyProtection="1">
      <alignment horizontal="left" vertical="center"/>
      <protection/>
    </xf>
    <xf numFmtId="49" fontId="13" fillId="0" borderId="53" xfId="0" applyNumberFormat="1" applyFont="1" applyFill="1" applyBorder="1" applyAlignment="1" applyProtection="1">
      <alignment horizontal="left" vertical="center"/>
      <protection/>
    </xf>
    <xf numFmtId="0" fontId="13" fillId="0" borderId="42" xfId="0" applyNumberFormat="1" applyFont="1" applyFill="1" applyBorder="1" applyAlignment="1" applyProtection="1">
      <alignment horizontal="left" vertical="center"/>
      <protection/>
    </xf>
    <xf numFmtId="0" fontId="13" fillId="0" borderId="54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211"/>
  <sheetViews>
    <sheetView zoomScalePageLayoutView="0" workbookViewId="0" topLeftCell="A1">
      <pane ySplit="11" topLeftCell="A186" activePane="bottomLeft" state="frozen"/>
      <selection pane="topLeft" activeCell="A1" sqref="A1"/>
      <selection pane="bottomLeft" activeCell="M203" sqref="M203:M208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68.28125" style="0" customWidth="1"/>
    <col min="5" max="5" width="6.42187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24" width="11.57421875" style="0" customWidth="1"/>
    <col min="25" max="62" width="12.140625" style="0" hidden="1" customWidth="1"/>
  </cols>
  <sheetData>
    <row r="1" spans="1:13" ht="72.75" customHeight="1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4" ht="12.75">
      <c r="A2" s="63" t="s">
        <v>1</v>
      </c>
      <c r="B2" s="64"/>
      <c r="C2" s="64"/>
      <c r="D2" s="67" t="s">
        <v>249</v>
      </c>
      <c r="E2" s="69" t="s">
        <v>434</v>
      </c>
      <c r="F2" s="64"/>
      <c r="G2" s="69" t="s">
        <v>6</v>
      </c>
      <c r="H2" s="70" t="s">
        <v>454</v>
      </c>
      <c r="I2" s="70" t="s">
        <v>461</v>
      </c>
      <c r="J2" s="64"/>
      <c r="K2" s="64"/>
      <c r="L2" s="64"/>
      <c r="M2" s="71"/>
      <c r="N2" s="32"/>
    </row>
    <row r="3" spans="1:14" ht="12.75">
      <c r="A3" s="65"/>
      <c r="B3" s="66"/>
      <c r="C3" s="66"/>
      <c r="D3" s="68"/>
      <c r="E3" s="66"/>
      <c r="F3" s="66"/>
      <c r="G3" s="66"/>
      <c r="H3" s="66"/>
      <c r="I3" s="66"/>
      <c r="J3" s="66"/>
      <c r="K3" s="66"/>
      <c r="L3" s="66"/>
      <c r="M3" s="72"/>
      <c r="N3" s="32"/>
    </row>
    <row r="4" spans="1:14" ht="12.75">
      <c r="A4" s="73" t="s">
        <v>2</v>
      </c>
      <c r="B4" s="66"/>
      <c r="C4" s="66"/>
      <c r="D4" s="74" t="s">
        <v>250</v>
      </c>
      <c r="E4" s="75" t="s">
        <v>435</v>
      </c>
      <c r="F4" s="66"/>
      <c r="G4" s="75" t="s">
        <v>450</v>
      </c>
      <c r="H4" s="74" t="s">
        <v>455</v>
      </c>
      <c r="I4" s="74" t="s">
        <v>462</v>
      </c>
      <c r="J4" s="66"/>
      <c r="K4" s="66"/>
      <c r="L4" s="66"/>
      <c r="M4" s="72"/>
      <c r="N4" s="32"/>
    </row>
    <row r="5" spans="1:14" ht="12.75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72"/>
      <c r="N5" s="32"/>
    </row>
    <row r="6" spans="1:14" ht="12.75">
      <c r="A6" s="73" t="s">
        <v>3</v>
      </c>
      <c r="B6" s="66"/>
      <c r="C6" s="66"/>
      <c r="D6" s="74" t="s">
        <v>251</v>
      </c>
      <c r="E6" s="75" t="s">
        <v>436</v>
      </c>
      <c r="F6" s="66"/>
      <c r="G6" s="75" t="s">
        <v>450</v>
      </c>
      <c r="H6" s="74" t="s">
        <v>456</v>
      </c>
      <c r="I6" s="76"/>
      <c r="J6" s="66"/>
      <c r="K6" s="66"/>
      <c r="L6" s="66"/>
      <c r="M6" s="72"/>
      <c r="N6" s="32"/>
    </row>
    <row r="7" spans="1:14" ht="12.75">
      <c r="A7" s="65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72"/>
      <c r="N7" s="32"/>
    </row>
    <row r="8" spans="1:14" ht="12.75">
      <c r="A8" s="73" t="s">
        <v>4</v>
      </c>
      <c r="B8" s="66"/>
      <c r="C8" s="66"/>
      <c r="D8" s="76"/>
      <c r="E8" s="75" t="s">
        <v>437</v>
      </c>
      <c r="F8" s="66"/>
      <c r="G8" s="75" t="s">
        <v>451</v>
      </c>
      <c r="H8" s="74" t="s">
        <v>457</v>
      </c>
      <c r="I8" s="74" t="s">
        <v>462</v>
      </c>
      <c r="J8" s="66"/>
      <c r="K8" s="66"/>
      <c r="L8" s="66"/>
      <c r="M8" s="72"/>
      <c r="N8" s="32"/>
    </row>
    <row r="9" spans="1:14" ht="12.75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4"/>
      <c r="N9" s="32"/>
    </row>
    <row r="10" spans="1:14" ht="12.75">
      <c r="A10" s="1" t="s">
        <v>5</v>
      </c>
      <c r="B10" s="10" t="s">
        <v>124</v>
      </c>
      <c r="C10" s="10" t="s">
        <v>125</v>
      </c>
      <c r="D10" s="10" t="s">
        <v>252</v>
      </c>
      <c r="E10" s="10" t="s">
        <v>438</v>
      </c>
      <c r="F10" s="16" t="s">
        <v>449</v>
      </c>
      <c r="G10" s="20" t="s">
        <v>452</v>
      </c>
      <c r="H10" s="77" t="s">
        <v>458</v>
      </c>
      <c r="I10" s="78"/>
      <c r="J10" s="79"/>
      <c r="K10" s="77" t="s">
        <v>465</v>
      </c>
      <c r="L10" s="79"/>
      <c r="M10" s="27" t="s">
        <v>466</v>
      </c>
      <c r="N10" s="33"/>
    </row>
    <row r="11" spans="1:62" ht="12.75">
      <c r="A11" s="2" t="s">
        <v>6</v>
      </c>
      <c r="B11" s="11" t="s">
        <v>6</v>
      </c>
      <c r="C11" s="11" t="s">
        <v>6</v>
      </c>
      <c r="D11" s="14" t="s">
        <v>253</v>
      </c>
      <c r="E11" s="11" t="s">
        <v>6</v>
      </c>
      <c r="F11" s="11" t="s">
        <v>6</v>
      </c>
      <c r="G11" s="21" t="s">
        <v>453</v>
      </c>
      <c r="H11" s="22" t="s">
        <v>459</v>
      </c>
      <c r="I11" s="23" t="s">
        <v>463</v>
      </c>
      <c r="J11" s="24" t="s">
        <v>464</v>
      </c>
      <c r="K11" s="22" t="s">
        <v>452</v>
      </c>
      <c r="L11" s="24" t="s">
        <v>464</v>
      </c>
      <c r="M11" s="28" t="s">
        <v>467</v>
      </c>
      <c r="N11" s="33"/>
      <c r="Z11" s="26" t="s">
        <v>468</v>
      </c>
      <c r="AA11" s="26" t="s">
        <v>469</v>
      </c>
      <c r="AB11" s="26" t="s">
        <v>470</v>
      </c>
      <c r="AC11" s="26" t="s">
        <v>471</v>
      </c>
      <c r="AD11" s="26" t="s">
        <v>472</v>
      </c>
      <c r="AE11" s="26" t="s">
        <v>473</v>
      </c>
      <c r="AF11" s="26" t="s">
        <v>474</v>
      </c>
      <c r="AG11" s="26" t="s">
        <v>475</v>
      </c>
      <c r="AH11" s="26" t="s">
        <v>476</v>
      </c>
      <c r="BH11" s="26" t="s">
        <v>532</v>
      </c>
      <c r="BI11" s="26" t="s">
        <v>533</v>
      </c>
      <c r="BJ11" s="26" t="s">
        <v>534</v>
      </c>
    </row>
    <row r="12" spans="1:47" ht="12.75">
      <c r="A12" s="3"/>
      <c r="B12" s="12"/>
      <c r="C12" s="12" t="s">
        <v>17</v>
      </c>
      <c r="D12" s="12" t="s">
        <v>254</v>
      </c>
      <c r="E12" s="3" t="s">
        <v>6</v>
      </c>
      <c r="F12" s="3" t="s">
        <v>6</v>
      </c>
      <c r="G12" s="3" t="s">
        <v>6</v>
      </c>
      <c r="H12" s="36">
        <f>SUM(H13:H24)</f>
        <v>0</v>
      </c>
      <c r="I12" s="36">
        <f>SUM(I13:I24)</f>
        <v>0</v>
      </c>
      <c r="J12" s="36">
        <f>SUM(J13:J24)</f>
        <v>0</v>
      </c>
      <c r="K12" s="25"/>
      <c r="L12" s="36">
        <f>SUM(L13:L24)</f>
        <v>32.28181</v>
      </c>
      <c r="M12" s="25"/>
      <c r="AI12" s="26"/>
      <c r="AS12" s="37">
        <f>SUM(AJ13:AJ24)</f>
        <v>0</v>
      </c>
      <c r="AT12" s="37">
        <f>SUM(AK13:AK24)</f>
        <v>0</v>
      </c>
      <c r="AU12" s="37">
        <f>SUM(AL13:AL24)</f>
        <v>0</v>
      </c>
    </row>
    <row r="13" spans="1:62" ht="12.75">
      <c r="A13" s="4" t="s">
        <v>7</v>
      </c>
      <c r="B13" s="4"/>
      <c r="C13" s="4" t="s">
        <v>126</v>
      </c>
      <c r="D13" s="4" t="s">
        <v>255</v>
      </c>
      <c r="E13" s="4" t="s">
        <v>439</v>
      </c>
      <c r="F13" s="17">
        <v>1</v>
      </c>
      <c r="G13" s="17"/>
      <c r="H13" s="17">
        <f>F13*AO13</f>
        <v>0</v>
      </c>
      <c r="I13" s="17">
        <f>F13*AP13</f>
        <v>0</v>
      </c>
      <c r="J13" s="17">
        <f>F13*G13</f>
        <v>0</v>
      </c>
      <c r="K13" s="17">
        <v>0</v>
      </c>
      <c r="L13" s="17">
        <f>F13*K13</f>
        <v>0</v>
      </c>
      <c r="M13" s="29"/>
      <c r="Z13" s="34">
        <f>IF(AQ13="5",BJ13,0)</f>
        <v>0</v>
      </c>
      <c r="AB13" s="34">
        <f>IF(AQ13="1",BH13,0)</f>
        <v>0</v>
      </c>
      <c r="AC13" s="34">
        <f>IF(AQ13="1",BI13,0)</f>
        <v>0</v>
      </c>
      <c r="AD13" s="34">
        <f>IF(AQ13="7",BH13,0)</f>
        <v>0</v>
      </c>
      <c r="AE13" s="34">
        <f>IF(AQ13="7",BI13,0)</f>
        <v>0</v>
      </c>
      <c r="AF13" s="34">
        <f>IF(AQ13="2",BH13,0)</f>
        <v>0</v>
      </c>
      <c r="AG13" s="34">
        <f>IF(AQ13="2",BI13,0)</f>
        <v>0</v>
      </c>
      <c r="AH13" s="34">
        <f>IF(AQ13="0",BJ13,0)</f>
        <v>0</v>
      </c>
      <c r="AI13" s="26"/>
      <c r="AJ13" s="17">
        <f>IF(AN13=0,J13,0)</f>
        <v>0</v>
      </c>
      <c r="AK13" s="17">
        <f>IF(AN13=15,J13,0)</f>
        <v>0</v>
      </c>
      <c r="AL13" s="17">
        <f>IF(AN13=21,J13,0)</f>
        <v>0</v>
      </c>
      <c r="AN13" s="34">
        <v>21</v>
      </c>
      <c r="AO13" s="34">
        <f>G13*0</f>
        <v>0</v>
      </c>
      <c r="AP13" s="34">
        <f>G13*(1-0)</f>
        <v>0</v>
      </c>
      <c r="AQ13" s="29" t="s">
        <v>7</v>
      </c>
      <c r="AV13" s="34">
        <f>AW13+AX13</f>
        <v>0</v>
      </c>
      <c r="AW13" s="34">
        <f>F13*AO13</f>
        <v>0</v>
      </c>
      <c r="AX13" s="34">
        <f>F13*AP13</f>
        <v>0</v>
      </c>
      <c r="AY13" s="35" t="s">
        <v>478</v>
      </c>
      <c r="AZ13" s="35" t="s">
        <v>517</v>
      </c>
      <c r="BA13" s="26" t="s">
        <v>531</v>
      </c>
      <c r="BC13" s="34">
        <f>AW13+AX13</f>
        <v>0</v>
      </c>
      <c r="BD13" s="34">
        <f>G13/(100-BE13)*100</f>
        <v>0</v>
      </c>
      <c r="BE13" s="34">
        <v>0</v>
      </c>
      <c r="BF13" s="34">
        <f>L13</f>
        <v>0</v>
      </c>
      <c r="BH13" s="17">
        <f>F13*AO13</f>
        <v>0</v>
      </c>
      <c r="BI13" s="17">
        <f>F13*AP13</f>
        <v>0</v>
      </c>
      <c r="BJ13" s="17">
        <f>F13*G13</f>
        <v>0</v>
      </c>
    </row>
    <row r="14" spans="1:62" ht="12.75">
      <c r="A14" s="4" t="s">
        <v>8</v>
      </c>
      <c r="B14" s="4"/>
      <c r="C14" s="4" t="s">
        <v>127</v>
      </c>
      <c r="D14" s="4" t="s">
        <v>256</v>
      </c>
      <c r="E14" s="4" t="s">
        <v>440</v>
      </c>
      <c r="F14" s="17">
        <v>1</v>
      </c>
      <c r="G14" s="17"/>
      <c r="H14" s="17">
        <f>F14*AO14</f>
        <v>0</v>
      </c>
      <c r="I14" s="17">
        <f>F14*AP14</f>
        <v>0</v>
      </c>
      <c r="J14" s="17">
        <f>F14*G14</f>
        <v>0</v>
      </c>
      <c r="K14" s="17">
        <v>0</v>
      </c>
      <c r="L14" s="17">
        <f>F14*K14</f>
        <v>0</v>
      </c>
      <c r="M14" s="29"/>
      <c r="Z14" s="34">
        <f>IF(AQ14="5",BJ14,0)</f>
        <v>0</v>
      </c>
      <c r="AB14" s="34">
        <f>IF(AQ14="1",BH14,0)</f>
        <v>0</v>
      </c>
      <c r="AC14" s="34">
        <f>IF(AQ14="1",BI14,0)</f>
        <v>0</v>
      </c>
      <c r="AD14" s="34">
        <f>IF(AQ14="7",BH14,0)</f>
        <v>0</v>
      </c>
      <c r="AE14" s="34">
        <f>IF(AQ14="7",BI14,0)</f>
        <v>0</v>
      </c>
      <c r="AF14" s="34">
        <f>IF(AQ14="2",BH14,0)</f>
        <v>0</v>
      </c>
      <c r="AG14" s="34">
        <f>IF(AQ14="2",BI14,0)</f>
        <v>0</v>
      </c>
      <c r="AH14" s="34">
        <f>IF(AQ14="0",BJ14,0)</f>
        <v>0</v>
      </c>
      <c r="AI14" s="26"/>
      <c r="AJ14" s="17">
        <f>IF(AN14=0,J14,0)</f>
        <v>0</v>
      </c>
      <c r="AK14" s="17">
        <f>IF(AN14=15,J14,0)</f>
        <v>0</v>
      </c>
      <c r="AL14" s="17">
        <f>IF(AN14=21,J14,0)</f>
        <v>0</v>
      </c>
      <c r="AN14" s="34">
        <v>21</v>
      </c>
      <c r="AO14" s="34">
        <f>G14*0</f>
        <v>0</v>
      </c>
      <c r="AP14" s="34">
        <f>G14*(1-0)</f>
        <v>0</v>
      </c>
      <c r="AQ14" s="29" t="s">
        <v>7</v>
      </c>
      <c r="AV14" s="34">
        <f>AW14+AX14</f>
        <v>0</v>
      </c>
      <c r="AW14" s="34">
        <f>F14*AO14</f>
        <v>0</v>
      </c>
      <c r="AX14" s="34">
        <f>F14*AP14</f>
        <v>0</v>
      </c>
      <c r="AY14" s="35" t="s">
        <v>478</v>
      </c>
      <c r="AZ14" s="35" t="s">
        <v>517</v>
      </c>
      <c r="BA14" s="26" t="s">
        <v>531</v>
      </c>
      <c r="BC14" s="34">
        <f>AW14+AX14</f>
        <v>0</v>
      </c>
      <c r="BD14" s="34">
        <f>G14/(100-BE14)*100</f>
        <v>0</v>
      </c>
      <c r="BE14" s="34">
        <v>0</v>
      </c>
      <c r="BF14" s="34">
        <f>L14</f>
        <v>0</v>
      </c>
      <c r="BH14" s="17">
        <f>F14*AO14</f>
        <v>0</v>
      </c>
      <c r="BI14" s="17">
        <f>F14*AP14</f>
        <v>0</v>
      </c>
      <c r="BJ14" s="17">
        <f>F14*G14</f>
        <v>0</v>
      </c>
    </row>
    <row r="15" spans="1:62" ht="12.75">
      <c r="A15" s="4" t="s">
        <v>9</v>
      </c>
      <c r="B15" s="4"/>
      <c r="C15" s="4" t="s">
        <v>128</v>
      </c>
      <c r="D15" s="4" t="s">
        <v>257</v>
      </c>
      <c r="E15" s="4" t="s">
        <v>440</v>
      </c>
      <c r="F15" s="17">
        <v>1</v>
      </c>
      <c r="G15" s="17"/>
      <c r="H15" s="17">
        <f>F15*AO15</f>
        <v>0</v>
      </c>
      <c r="I15" s="17">
        <f>F15*AP15</f>
        <v>0</v>
      </c>
      <c r="J15" s="17">
        <f>F15*G15</f>
        <v>0</v>
      </c>
      <c r="K15" s="17">
        <v>0</v>
      </c>
      <c r="L15" s="17">
        <f>F15*K15</f>
        <v>0</v>
      </c>
      <c r="M15" s="29"/>
      <c r="Z15" s="34">
        <f>IF(AQ15="5",BJ15,0)</f>
        <v>0</v>
      </c>
      <c r="AB15" s="34">
        <f>IF(AQ15="1",BH15,0)</f>
        <v>0</v>
      </c>
      <c r="AC15" s="34">
        <f>IF(AQ15="1",BI15,0)</f>
        <v>0</v>
      </c>
      <c r="AD15" s="34">
        <f>IF(AQ15="7",BH15,0)</f>
        <v>0</v>
      </c>
      <c r="AE15" s="34">
        <f>IF(AQ15="7",BI15,0)</f>
        <v>0</v>
      </c>
      <c r="AF15" s="34">
        <f>IF(AQ15="2",BH15,0)</f>
        <v>0</v>
      </c>
      <c r="AG15" s="34">
        <f>IF(AQ15="2",BI15,0)</f>
        <v>0</v>
      </c>
      <c r="AH15" s="34">
        <f>IF(AQ15="0",BJ15,0)</f>
        <v>0</v>
      </c>
      <c r="AI15" s="26"/>
      <c r="AJ15" s="17">
        <f>IF(AN15=0,J15,0)</f>
        <v>0</v>
      </c>
      <c r="AK15" s="17">
        <f>IF(AN15=15,J15,0)</f>
        <v>0</v>
      </c>
      <c r="AL15" s="17">
        <f>IF(AN15=21,J15,0)</f>
        <v>0</v>
      </c>
      <c r="AN15" s="34">
        <v>21</v>
      </c>
      <c r="AO15" s="34">
        <f>G15*0</f>
        <v>0</v>
      </c>
      <c r="AP15" s="34">
        <f>G15*(1-0)</f>
        <v>0</v>
      </c>
      <c r="AQ15" s="29" t="s">
        <v>7</v>
      </c>
      <c r="AV15" s="34">
        <f>AW15+AX15</f>
        <v>0</v>
      </c>
      <c r="AW15" s="34">
        <f>F15*AO15</f>
        <v>0</v>
      </c>
      <c r="AX15" s="34">
        <f>F15*AP15</f>
        <v>0</v>
      </c>
      <c r="AY15" s="35" t="s">
        <v>478</v>
      </c>
      <c r="AZ15" s="35" t="s">
        <v>517</v>
      </c>
      <c r="BA15" s="26" t="s">
        <v>531</v>
      </c>
      <c r="BC15" s="34">
        <f>AW15+AX15</f>
        <v>0</v>
      </c>
      <c r="BD15" s="34">
        <f>G15/(100-BE15)*100</f>
        <v>0</v>
      </c>
      <c r="BE15" s="34">
        <v>0</v>
      </c>
      <c r="BF15" s="34">
        <f>L15</f>
        <v>0</v>
      </c>
      <c r="BH15" s="17">
        <f>F15*AO15</f>
        <v>0</v>
      </c>
      <c r="BI15" s="17">
        <f>F15*AP15</f>
        <v>0</v>
      </c>
      <c r="BJ15" s="17">
        <f>F15*G15</f>
        <v>0</v>
      </c>
    </row>
    <row r="16" ht="12.75">
      <c r="D16" s="15" t="s">
        <v>258</v>
      </c>
    </row>
    <row r="17" spans="1:62" ht="12.75">
      <c r="A17" s="4" t="s">
        <v>10</v>
      </c>
      <c r="B17" s="4"/>
      <c r="C17" s="4" t="s">
        <v>129</v>
      </c>
      <c r="D17" s="4" t="s">
        <v>259</v>
      </c>
      <c r="E17" s="4" t="s">
        <v>441</v>
      </c>
      <c r="F17" s="17">
        <v>6</v>
      </c>
      <c r="G17" s="17"/>
      <c r="H17" s="17">
        <f aca="true" t="shared" si="0" ref="H17:H24">F17*AO17</f>
        <v>0</v>
      </c>
      <c r="I17" s="17">
        <f aca="true" t="shared" si="1" ref="I17:I24">F17*AP17</f>
        <v>0</v>
      </c>
      <c r="J17" s="17">
        <f aca="true" t="shared" si="2" ref="J17:J24">F17*G17</f>
        <v>0</v>
      </c>
      <c r="K17" s="17">
        <v>0</v>
      </c>
      <c r="L17" s="17">
        <f aca="true" t="shared" si="3" ref="L17:L24">F17*K17</f>
        <v>0</v>
      </c>
      <c r="M17" s="29"/>
      <c r="Z17" s="34">
        <f aca="true" t="shared" si="4" ref="Z17:Z24">IF(AQ17="5",BJ17,0)</f>
        <v>0</v>
      </c>
      <c r="AB17" s="34">
        <f aca="true" t="shared" si="5" ref="AB17:AB24">IF(AQ17="1",BH17,0)</f>
        <v>0</v>
      </c>
      <c r="AC17" s="34">
        <f aca="true" t="shared" si="6" ref="AC17:AC24">IF(AQ17="1",BI17,0)</f>
        <v>0</v>
      </c>
      <c r="AD17" s="34">
        <f aca="true" t="shared" si="7" ref="AD17:AD24">IF(AQ17="7",BH17,0)</f>
        <v>0</v>
      </c>
      <c r="AE17" s="34">
        <f aca="true" t="shared" si="8" ref="AE17:AE24">IF(AQ17="7",BI17,0)</f>
        <v>0</v>
      </c>
      <c r="AF17" s="34">
        <f aca="true" t="shared" si="9" ref="AF17:AF24">IF(AQ17="2",BH17,0)</f>
        <v>0</v>
      </c>
      <c r="AG17" s="34">
        <f aca="true" t="shared" si="10" ref="AG17:AG24">IF(AQ17="2",BI17,0)</f>
        <v>0</v>
      </c>
      <c r="AH17" s="34">
        <f aca="true" t="shared" si="11" ref="AH17:AH24">IF(AQ17="0",BJ17,0)</f>
        <v>0</v>
      </c>
      <c r="AI17" s="26"/>
      <c r="AJ17" s="17">
        <f aca="true" t="shared" si="12" ref="AJ17:AJ24">IF(AN17=0,J17,0)</f>
        <v>0</v>
      </c>
      <c r="AK17" s="17">
        <f aca="true" t="shared" si="13" ref="AK17:AK24">IF(AN17=15,J17,0)</f>
        <v>0</v>
      </c>
      <c r="AL17" s="17">
        <f aca="true" t="shared" si="14" ref="AL17:AL24">IF(AN17=21,J17,0)</f>
        <v>0</v>
      </c>
      <c r="AN17" s="34">
        <v>21</v>
      </c>
      <c r="AO17" s="34">
        <f>G17*0</f>
        <v>0</v>
      </c>
      <c r="AP17" s="34">
        <f>G17*(1-0)</f>
        <v>0</v>
      </c>
      <c r="AQ17" s="29" t="s">
        <v>7</v>
      </c>
      <c r="AV17" s="34">
        <f aca="true" t="shared" si="15" ref="AV17:AV24">AW17+AX17</f>
        <v>0</v>
      </c>
      <c r="AW17" s="34">
        <f aca="true" t="shared" si="16" ref="AW17:AW24">F17*AO17</f>
        <v>0</v>
      </c>
      <c r="AX17" s="34">
        <f aca="true" t="shared" si="17" ref="AX17:AX24">F17*AP17</f>
        <v>0</v>
      </c>
      <c r="AY17" s="35" t="s">
        <v>478</v>
      </c>
      <c r="AZ17" s="35" t="s">
        <v>517</v>
      </c>
      <c r="BA17" s="26" t="s">
        <v>531</v>
      </c>
      <c r="BC17" s="34">
        <f aca="true" t="shared" si="18" ref="BC17:BC24">AW17+AX17</f>
        <v>0</v>
      </c>
      <c r="BD17" s="34">
        <f aca="true" t="shared" si="19" ref="BD17:BD24">G17/(100-BE17)*100</f>
        <v>0</v>
      </c>
      <c r="BE17" s="34">
        <v>0</v>
      </c>
      <c r="BF17" s="34">
        <f aca="true" t="shared" si="20" ref="BF17:BF24">L17</f>
        <v>0</v>
      </c>
      <c r="BH17" s="17">
        <f aca="true" t="shared" si="21" ref="BH17:BH24">F17*AO17</f>
        <v>0</v>
      </c>
      <c r="BI17" s="17">
        <f aca="true" t="shared" si="22" ref="BI17:BI24">F17*AP17</f>
        <v>0</v>
      </c>
      <c r="BJ17" s="17">
        <f aca="true" t="shared" si="23" ref="BJ17:BJ24">F17*G17</f>
        <v>0</v>
      </c>
    </row>
    <row r="18" spans="1:62" ht="12.75">
      <c r="A18" s="4" t="s">
        <v>11</v>
      </c>
      <c r="B18" s="4"/>
      <c r="C18" s="4" t="s">
        <v>130</v>
      </c>
      <c r="D18" s="4" t="s">
        <v>260</v>
      </c>
      <c r="E18" s="4" t="s">
        <v>442</v>
      </c>
      <c r="F18" s="17">
        <v>26.22</v>
      </c>
      <c r="G18" s="17"/>
      <c r="H18" s="17">
        <f t="shared" si="0"/>
        <v>0</v>
      </c>
      <c r="I18" s="17">
        <f t="shared" si="1"/>
        <v>0</v>
      </c>
      <c r="J18" s="17">
        <f t="shared" si="2"/>
        <v>0</v>
      </c>
      <c r="K18" s="17">
        <v>0.66</v>
      </c>
      <c r="L18" s="17">
        <f t="shared" si="3"/>
        <v>17.3052</v>
      </c>
      <c r="M18" s="29"/>
      <c r="Z18" s="34">
        <f t="shared" si="4"/>
        <v>0</v>
      </c>
      <c r="AB18" s="34">
        <f t="shared" si="5"/>
        <v>0</v>
      </c>
      <c r="AC18" s="34">
        <f t="shared" si="6"/>
        <v>0</v>
      </c>
      <c r="AD18" s="34">
        <f t="shared" si="7"/>
        <v>0</v>
      </c>
      <c r="AE18" s="34">
        <f t="shared" si="8"/>
        <v>0</v>
      </c>
      <c r="AF18" s="34">
        <f t="shared" si="9"/>
        <v>0</v>
      </c>
      <c r="AG18" s="34">
        <f t="shared" si="10"/>
        <v>0</v>
      </c>
      <c r="AH18" s="34">
        <f t="shared" si="11"/>
        <v>0</v>
      </c>
      <c r="AI18" s="26"/>
      <c r="AJ18" s="17">
        <f t="shared" si="12"/>
        <v>0</v>
      </c>
      <c r="AK18" s="17">
        <f t="shared" si="13"/>
        <v>0</v>
      </c>
      <c r="AL18" s="17">
        <f t="shared" si="14"/>
        <v>0</v>
      </c>
      <c r="AN18" s="34">
        <v>21</v>
      </c>
      <c r="AO18" s="34">
        <f>G18*0</f>
        <v>0</v>
      </c>
      <c r="AP18" s="34">
        <f>G18*(1-0)</f>
        <v>0</v>
      </c>
      <c r="AQ18" s="29" t="s">
        <v>7</v>
      </c>
      <c r="AV18" s="34">
        <f t="shared" si="15"/>
        <v>0</v>
      </c>
      <c r="AW18" s="34">
        <f t="shared" si="16"/>
        <v>0</v>
      </c>
      <c r="AX18" s="34">
        <f t="shared" si="17"/>
        <v>0</v>
      </c>
      <c r="AY18" s="35" t="s">
        <v>478</v>
      </c>
      <c r="AZ18" s="35" t="s">
        <v>517</v>
      </c>
      <c r="BA18" s="26" t="s">
        <v>531</v>
      </c>
      <c r="BC18" s="34">
        <f t="shared" si="18"/>
        <v>0</v>
      </c>
      <c r="BD18" s="34">
        <f t="shared" si="19"/>
        <v>0</v>
      </c>
      <c r="BE18" s="34">
        <v>0</v>
      </c>
      <c r="BF18" s="34">
        <f t="shared" si="20"/>
        <v>17.3052</v>
      </c>
      <c r="BH18" s="17">
        <f t="shared" si="21"/>
        <v>0</v>
      </c>
      <c r="BI18" s="17">
        <f t="shared" si="22"/>
        <v>0</v>
      </c>
      <c r="BJ18" s="17">
        <f t="shared" si="23"/>
        <v>0</v>
      </c>
    </row>
    <row r="19" spans="1:62" ht="12.75">
      <c r="A19" s="4" t="s">
        <v>12</v>
      </c>
      <c r="B19" s="4"/>
      <c r="C19" s="4" t="s">
        <v>131</v>
      </c>
      <c r="D19" s="4" t="s">
        <v>261</v>
      </c>
      <c r="E19" s="4" t="s">
        <v>443</v>
      </c>
      <c r="F19" s="17">
        <v>59</v>
      </c>
      <c r="G19" s="17"/>
      <c r="H19" s="17">
        <f t="shared" si="0"/>
        <v>0</v>
      </c>
      <c r="I19" s="17">
        <f t="shared" si="1"/>
        <v>0</v>
      </c>
      <c r="J19" s="17">
        <f t="shared" si="2"/>
        <v>0</v>
      </c>
      <c r="K19" s="17">
        <v>0.02478</v>
      </c>
      <c r="L19" s="17">
        <f t="shared" si="3"/>
        <v>1.46202</v>
      </c>
      <c r="M19" s="29"/>
      <c r="Z19" s="34">
        <f t="shared" si="4"/>
        <v>0</v>
      </c>
      <c r="AB19" s="34">
        <f t="shared" si="5"/>
        <v>0</v>
      </c>
      <c r="AC19" s="34">
        <f t="shared" si="6"/>
        <v>0</v>
      </c>
      <c r="AD19" s="34">
        <f t="shared" si="7"/>
        <v>0</v>
      </c>
      <c r="AE19" s="34">
        <f t="shared" si="8"/>
        <v>0</v>
      </c>
      <c r="AF19" s="34">
        <f t="shared" si="9"/>
        <v>0</v>
      </c>
      <c r="AG19" s="34">
        <f t="shared" si="10"/>
        <v>0</v>
      </c>
      <c r="AH19" s="34">
        <f t="shared" si="11"/>
        <v>0</v>
      </c>
      <c r="AI19" s="26"/>
      <c r="AJ19" s="17">
        <f t="shared" si="12"/>
        <v>0</v>
      </c>
      <c r="AK19" s="17">
        <f t="shared" si="13"/>
        <v>0</v>
      </c>
      <c r="AL19" s="17">
        <f t="shared" si="14"/>
        <v>0</v>
      </c>
      <c r="AN19" s="34">
        <v>21</v>
      </c>
      <c r="AO19" s="34">
        <f>G19*0.3</f>
        <v>0</v>
      </c>
      <c r="AP19" s="34">
        <f>G19*(1-0.3)</f>
        <v>0</v>
      </c>
      <c r="AQ19" s="29" t="s">
        <v>7</v>
      </c>
      <c r="AV19" s="34">
        <f t="shared" si="15"/>
        <v>0</v>
      </c>
      <c r="AW19" s="34">
        <f t="shared" si="16"/>
        <v>0</v>
      </c>
      <c r="AX19" s="34">
        <f t="shared" si="17"/>
        <v>0</v>
      </c>
      <c r="AY19" s="35" t="s">
        <v>478</v>
      </c>
      <c r="AZ19" s="35" t="s">
        <v>517</v>
      </c>
      <c r="BA19" s="26" t="s">
        <v>531</v>
      </c>
      <c r="BC19" s="34">
        <f t="shared" si="18"/>
        <v>0</v>
      </c>
      <c r="BD19" s="34">
        <f t="shared" si="19"/>
        <v>0</v>
      </c>
      <c r="BE19" s="34">
        <v>0</v>
      </c>
      <c r="BF19" s="34">
        <f t="shared" si="20"/>
        <v>1.46202</v>
      </c>
      <c r="BH19" s="17">
        <f t="shared" si="21"/>
        <v>0</v>
      </c>
      <c r="BI19" s="17">
        <f t="shared" si="22"/>
        <v>0</v>
      </c>
      <c r="BJ19" s="17">
        <f t="shared" si="23"/>
        <v>0</v>
      </c>
    </row>
    <row r="20" spans="1:62" ht="12.75">
      <c r="A20" s="4" t="s">
        <v>13</v>
      </c>
      <c r="B20" s="4"/>
      <c r="C20" s="4" t="s">
        <v>132</v>
      </c>
      <c r="D20" s="4" t="s">
        <v>262</v>
      </c>
      <c r="E20" s="4" t="s">
        <v>443</v>
      </c>
      <c r="F20" s="17">
        <v>11</v>
      </c>
      <c r="G20" s="17"/>
      <c r="H20" s="17">
        <f t="shared" si="0"/>
        <v>0</v>
      </c>
      <c r="I20" s="17">
        <f t="shared" si="1"/>
        <v>0</v>
      </c>
      <c r="J20" s="17">
        <f t="shared" si="2"/>
        <v>0</v>
      </c>
      <c r="K20" s="17">
        <v>0.00869</v>
      </c>
      <c r="L20" s="17">
        <f t="shared" si="3"/>
        <v>0.09559</v>
      </c>
      <c r="M20" s="29"/>
      <c r="Z20" s="34">
        <f t="shared" si="4"/>
        <v>0</v>
      </c>
      <c r="AB20" s="34">
        <f t="shared" si="5"/>
        <v>0</v>
      </c>
      <c r="AC20" s="34">
        <f t="shared" si="6"/>
        <v>0</v>
      </c>
      <c r="AD20" s="34">
        <f t="shared" si="7"/>
        <v>0</v>
      </c>
      <c r="AE20" s="34">
        <f t="shared" si="8"/>
        <v>0</v>
      </c>
      <c r="AF20" s="34">
        <f t="shared" si="9"/>
        <v>0</v>
      </c>
      <c r="AG20" s="34">
        <f t="shared" si="10"/>
        <v>0</v>
      </c>
      <c r="AH20" s="34">
        <f t="shared" si="11"/>
        <v>0</v>
      </c>
      <c r="AI20" s="26"/>
      <c r="AJ20" s="17">
        <f t="shared" si="12"/>
        <v>0</v>
      </c>
      <c r="AK20" s="17">
        <f t="shared" si="13"/>
        <v>0</v>
      </c>
      <c r="AL20" s="17">
        <f t="shared" si="14"/>
        <v>0</v>
      </c>
      <c r="AN20" s="34">
        <v>21</v>
      </c>
      <c r="AO20" s="34">
        <f>G20*0.288794184006017</f>
        <v>0</v>
      </c>
      <c r="AP20" s="34">
        <f>G20*(1-0.288794184006017)</f>
        <v>0</v>
      </c>
      <c r="AQ20" s="29" t="s">
        <v>7</v>
      </c>
      <c r="AV20" s="34">
        <f t="shared" si="15"/>
        <v>0</v>
      </c>
      <c r="AW20" s="34">
        <f t="shared" si="16"/>
        <v>0</v>
      </c>
      <c r="AX20" s="34">
        <f t="shared" si="17"/>
        <v>0</v>
      </c>
      <c r="AY20" s="35" t="s">
        <v>478</v>
      </c>
      <c r="AZ20" s="35" t="s">
        <v>517</v>
      </c>
      <c r="BA20" s="26" t="s">
        <v>531</v>
      </c>
      <c r="BC20" s="34">
        <f t="shared" si="18"/>
        <v>0</v>
      </c>
      <c r="BD20" s="34">
        <f t="shared" si="19"/>
        <v>0</v>
      </c>
      <c r="BE20" s="34">
        <v>0</v>
      </c>
      <c r="BF20" s="34">
        <f t="shared" si="20"/>
        <v>0.09559</v>
      </c>
      <c r="BH20" s="17">
        <f t="shared" si="21"/>
        <v>0</v>
      </c>
      <c r="BI20" s="17">
        <f t="shared" si="22"/>
        <v>0</v>
      </c>
      <c r="BJ20" s="17">
        <f t="shared" si="23"/>
        <v>0</v>
      </c>
    </row>
    <row r="21" spans="1:62" ht="12.75">
      <c r="A21" s="4" t="s">
        <v>14</v>
      </c>
      <c r="B21" s="4"/>
      <c r="C21" s="4" t="s">
        <v>133</v>
      </c>
      <c r="D21" s="4" t="s">
        <v>263</v>
      </c>
      <c r="E21" s="4" t="s">
        <v>442</v>
      </c>
      <c r="F21" s="17">
        <v>1309</v>
      </c>
      <c r="G21" s="17"/>
      <c r="H21" s="17">
        <f t="shared" si="0"/>
        <v>0</v>
      </c>
      <c r="I21" s="17">
        <f t="shared" si="1"/>
        <v>0</v>
      </c>
      <c r="J21" s="17">
        <f t="shared" si="2"/>
        <v>0</v>
      </c>
      <c r="K21" s="17">
        <v>0</v>
      </c>
      <c r="L21" s="17">
        <f t="shared" si="3"/>
        <v>0</v>
      </c>
      <c r="M21" s="29"/>
      <c r="Z21" s="34">
        <f t="shared" si="4"/>
        <v>0</v>
      </c>
      <c r="AB21" s="34">
        <f t="shared" si="5"/>
        <v>0</v>
      </c>
      <c r="AC21" s="34">
        <f t="shared" si="6"/>
        <v>0</v>
      </c>
      <c r="AD21" s="34">
        <f t="shared" si="7"/>
        <v>0</v>
      </c>
      <c r="AE21" s="34">
        <f t="shared" si="8"/>
        <v>0</v>
      </c>
      <c r="AF21" s="34">
        <f t="shared" si="9"/>
        <v>0</v>
      </c>
      <c r="AG21" s="34">
        <f t="shared" si="10"/>
        <v>0</v>
      </c>
      <c r="AH21" s="34">
        <f t="shared" si="11"/>
        <v>0</v>
      </c>
      <c r="AI21" s="26"/>
      <c r="AJ21" s="17">
        <f t="shared" si="12"/>
        <v>0</v>
      </c>
      <c r="AK21" s="17">
        <f t="shared" si="13"/>
        <v>0</v>
      </c>
      <c r="AL21" s="17">
        <f t="shared" si="14"/>
        <v>0</v>
      </c>
      <c r="AN21" s="34">
        <v>21</v>
      </c>
      <c r="AO21" s="34">
        <f>G21*0</f>
        <v>0</v>
      </c>
      <c r="AP21" s="34">
        <f>G21*(1-0)</f>
        <v>0</v>
      </c>
      <c r="AQ21" s="29" t="s">
        <v>7</v>
      </c>
      <c r="AV21" s="34">
        <f t="shared" si="15"/>
        <v>0</v>
      </c>
      <c r="AW21" s="34">
        <f t="shared" si="16"/>
        <v>0</v>
      </c>
      <c r="AX21" s="34">
        <f t="shared" si="17"/>
        <v>0</v>
      </c>
      <c r="AY21" s="35" t="s">
        <v>478</v>
      </c>
      <c r="AZ21" s="35" t="s">
        <v>517</v>
      </c>
      <c r="BA21" s="26" t="s">
        <v>531</v>
      </c>
      <c r="BC21" s="34">
        <f t="shared" si="18"/>
        <v>0</v>
      </c>
      <c r="BD21" s="34">
        <f t="shared" si="19"/>
        <v>0</v>
      </c>
      <c r="BE21" s="34">
        <v>0</v>
      </c>
      <c r="BF21" s="34">
        <f t="shared" si="20"/>
        <v>0</v>
      </c>
      <c r="BH21" s="17">
        <f t="shared" si="21"/>
        <v>0</v>
      </c>
      <c r="BI21" s="17">
        <f t="shared" si="22"/>
        <v>0</v>
      </c>
      <c r="BJ21" s="17">
        <f t="shared" si="23"/>
        <v>0</v>
      </c>
    </row>
    <row r="22" spans="1:62" ht="12.75">
      <c r="A22" s="4" t="s">
        <v>15</v>
      </c>
      <c r="B22" s="4"/>
      <c r="C22" s="4" t="s">
        <v>134</v>
      </c>
      <c r="D22" s="4" t="s">
        <v>264</v>
      </c>
      <c r="E22" s="4" t="s">
        <v>444</v>
      </c>
      <c r="F22" s="17">
        <v>150</v>
      </c>
      <c r="G22" s="17"/>
      <c r="H22" s="17">
        <f t="shared" si="0"/>
        <v>0</v>
      </c>
      <c r="I22" s="17">
        <f t="shared" si="1"/>
        <v>0</v>
      </c>
      <c r="J22" s="17">
        <f t="shared" si="2"/>
        <v>0</v>
      </c>
      <c r="K22" s="17">
        <v>0</v>
      </c>
      <c r="L22" s="17">
        <f t="shared" si="3"/>
        <v>0</v>
      </c>
      <c r="M22" s="29"/>
      <c r="Z22" s="34">
        <f t="shared" si="4"/>
        <v>0</v>
      </c>
      <c r="AB22" s="34">
        <f t="shared" si="5"/>
        <v>0</v>
      </c>
      <c r="AC22" s="34">
        <f t="shared" si="6"/>
        <v>0</v>
      </c>
      <c r="AD22" s="34">
        <f t="shared" si="7"/>
        <v>0</v>
      </c>
      <c r="AE22" s="34">
        <f t="shared" si="8"/>
        <v>0</v>
      </c>
      <c r="AF22" s="34">
        <f t="shared" si="9"/>
        <v>0</v>
      </c>
      <c r="AG22" s="34">
        <f t="shared" si="10"/>
        <v>0</v>
      </c>
      <c r="AH22" s="34">
        <f t="shared" si="11"/>
        <v>0</v>
      </c>
      <c r="AI22" s="26"/>
      <c r="AJ22" s="17">
        <f t="shared" si="12"/>
        <v>0</v>
      </c>
      <c r="AK22" s="17">
        <f t="shared" si="13"/>
        <v>0</v>
      </c>
      <c r="AL22" s="17">
        <f t="shared" si="14"/>
        <v>0</v>
      </c>
      <c r="AN22" s="34">
        <v>21</v>
      </c>
      <c r="AO22" s="34">
        <f>G22*0</f>
        <v>0</v>
      </c>
      <c r="AP22" s="34">
        <f>G22*(1-0)</f>
        <v>0</v>
      </c>
      <c r="AQ22" s="29" t="s">
        <v>7</v>
      </c>
      <c r="AV22" s="34">
        <f t="shared" si="15"/>
        <v>0</v>
      </c>
      <c r="AW22" s="34">
        <f t="shared" si="16"/>
        <v>0</v>
      </c>
      <c r="AX22" s="34">
        <f t="shared" si="17"/>
        <v>0</v>
      </c>
      <c r="AY22" s="35" t="s">
        <v>478</v>
      </c>
      <c r="AZ22" s="35" t="s">
        <v>517</v>
      </c>
      <c r="BA22" s="26" t="s">
        <v>531</v>
      </c>
      <c r="BC22" s="34">
        <f t="shared" si="18"/>
        <v>0</v>
      </c>
      <c r="BD22" s="34">
        <f t="shared" si="19"/>
        <v>0</v>
      </c>
      <c r="BE22" s="34">
        <v>0</v>
      </c>
      <c r="BF22" s="34">
        <f t="shared" si="20"/>
        <v>0</v>
      </c>
      <c r="BH22" s="17">
        <f t="shared" si="21"/>
        <v>0</v>
      </c>
      <c r="BI22" s="17">
        <f t="shared" si="22"/>
        <v>0</v>
      </c>
      <c r="BJ22" s="17">
        <f t="shared" si="23"/>
        <v>0</v>
      </c>
    </row>
    <row r="23" spans="1:62" ht="12.75">
      <c r="A23" s="4" t="s">
        <v>16</v>
      </c>
      <c r="B23" s="4"/>
      <c r="C23" s="4" t="s">
        <v>135</v>
      </c>
      <c r="D23" s="4" t="s">
        <v>265</v>
      </c>
      <c r="E23" s="4" t="s">
        <v>445</v>
      </c>
      <c r="F23" s="17">
        <v>50</v>
      </c>
      <c r="G23" s="17"/>
      <c r="H23" s="17">
        <f t="shared" si="0"/>
        <v>0</v>
      </c>
      <c r="I23" s="17">
        <f t="shared" si="1"/>
        <v>0</v>
      </c>
      <c r="J23" s="17">
        <f t="shared" si="2"/>
        <v>0</v>
      </c>
      <c r="K23" s="17">
        <v>0</v>
      </c>
      <c r="L23" s="17">
        <f t="shared" si="3"/>
        <v>0</v>
      </c>
      <c r="M23" s="29"/>
      <c r="Z23" s="34">
        <f t="shared" si="4"/>
        <v>0</v>
      </c>
      <c r="AB23" s="34">
        <f t="shared" si="5"/>
        <v>0</v>
      </c>
      <c r="AC23" s="34">
        <f t="shared" si="6"/>
        <v>0</v>
      </c>
      <c r="AD23" s="34">
        <f t="shared" si="7"/>
        <v>0</v>
      </c>
      <c r="AE23" s="34">
        <f t="shared" si="8"/>
        <v>0</v>
      </c>
      <c r="AF23" s="34">
        <f t="shared" si="9"/>
        <v>0</v>
      </c>
      <c r="AG23" s="34">
        <f t="shared" si="10"/>
        <v>0</v>
      </c>
      <c r="AH23" s="34">
        <f t="shared" si="11"/>
        <v>0</v>
      </c>
      <c r="AI23" s="26"/>
      <c r="AJ23" s="17">
        <f t="shared" si="12"/>
        <v>0</v>
      </c>
      <c r="AK23" s="17">
        <f t="shared" si="13"/>
        <v>0</v>
      </c>
      <c r="AL23" s="17">
        <f t="shared" si="14"/>
        <v>0</v>
      </c>
      <c r="AN23" s="34">
        <v>21</v>
      </c>
      <c r="AO23" s="34">
        <f>G23*0</f>
        <v>0</v>
      </c>
      <c r="AP23" s="34">
        <f>G23*(1-0)</f>
        <v>0</v>
      </c>
      <c r="AQ23" s="29" t="s">
        <v>7</v>
      </c>
      <c r="AV23" s="34">
        <f t="shared" si="15"/>
        <v>0</v>
      </c>
      <c r="AW23" s="34">
        <f t="shared" si="16"/>
        <v>0</v>
      </c>
      <c r="AX23" s="34">
        <f t="shared" si="17"/>
        <v>0</v>
      </c>
      <c r="AY23" s="35" t="s">
        <v>478</v>
      </c>
      <c r="AZ23" s="35" t="s">
        <v>517</v>
      </c>
      <c r="BA23" s="26" t="s">
        <v>531</v>
      </c>
      <c r="BC23" s="34">
        <f t="shared" si="18"/>
        <v>0</v>
      </c>
      <c r="BD23" s="34">
        <f t="shared" si="19"/>
        <v>0</v>
      </c>
      <c r="BE23" s="34">
        <v>0</v>
      </c>
      <c r="BF23" s="34">
        <f t="shared" si="20"/>
        <v>0</v>
      </c>
      <c r="BH23" s="17">
        <f t="shared" si="21"/>
        <v>0</v>
      </c>
      <c r="BI23" s="17">
        <f t="shared" si="22"/>
        <v>0</v>
      </c>
      <c r="BJ23" s="17">
        <f t="shared" si="23"/>
        <v>0</v>
      </c>
    </row>
    <row r="24" spans="1:62" ht="12.75">
      <c r="A24" s="4" t="s">
        <v>17</v>
      </c>
      <c r="B24" s="4"/>
      <c r="C24" s="4" t="s">
        <v>136</v>
      </c>
      <c r="D24" s="4" t="s">
        <v>266</v>
      </c>
      <c r="E24" s="4" t="s">
        <v>442</v>
      </c>
      <c r="F24" s="17">
        <v>37.8</v>
      </c>
      <c r="G24" s="17"/>
      <c r="H24" s="17">
        <f t="shared" si="0"/>
        <v>0</v>
      </c>
      <c r="I24" s="17">
        <f t="shared" si="1"/>
        <v>0</v>
      </c>
      <c r="J24" s="17">
        <f t="shared" si="2"/>
        <v>0</v>
      </c>
      <c r="K24" s="17">
        <v>0.355</v>
      </c>
      <c r="L24" s="17">
        <f t="shared" si="3"/>
        <v>13.418999999999999</v>
      </c>
      <c r="M24" s="29"/>
      <c r="Z24" s="34">
        <f t="shared" si="4"/>
        <v>0</v>
      </c>
      <c r="AB24" s="34">
        <f t="shared" si="5"/>
        <v>0</v>
      </c>
      <c r="AC24" s="34">
        <f t="shared" si="6"/>
        <v>0</v>
      </c>
      <c r="AD24" s="34">
        <f t="shared" si="7"/>
        <v>0</v>
      </c>
      <c r="AE24" s="34">
        <f t="shared" si="8"/>
        <v>0</v>
      </c>
      <c r="AF24" s="34">
        <f t="shared" si="9"/>
        <v>0</v>
      </c>
      <c r="AG24" s="34">
        <f t="shared" si="10"/>
        <v>0</v>
      </c>
      <c r="AH24" s="34">
        <f t="shared" si="11"/>
        <v>0</v>
      </c>
      <c r="AI24" s="26"/>
      <c r="AJ24" s="17">
        <f t="shared" si="12"/>
        <v>0</v>
      </c>
      <c r="AK24" s="17">
        <f t="shared" si="13"/>
        <v>0</v>
      </c>
      <c r="AL24" s="17">
        <f t="shared" si="14"/>
        <v>0</v>
      </c>
      <c r="AN24" s="34">
        <v>21</v>
      </c>
      <c r="AO24" s="34">
        <f>G24*0</f>
        <v>0</v>
      </c>
      <c r="AP24" s="34">
        <f>G24*(1-0)</f>
        <v>0</v>
      </c>
      <c r="AQ24" s="29" t="s">
        <v>7</v>
      </c>
      <c r="AV24" s="34">
        <f t="shared" si="15"/>
        <v>0</v>
      </c>
      <c r="AW24" s="34">
        <f t="shared" si="16"/>
        <v>0</v>
      </c>
      <c r="AX24" s="34">
        <f t="shared" si="17"/>
        <v>0</v>
      </c>
      <c r="AY24" s="35" t="s">
        <v>478</v>
      </c>
      <c r="AZ24" s="35" t="s">
        <v>517</v>
      </c>
      <c r="BA24" s="26" t="s">
        <v>531</v>
      </c>
      <c r="BC24" s="34">
        <f t="shared" si="18"/>
        <v>0</v>
      </c>
      <c r="BD24" s="34">
        <f t="shared" si="19"/>
        <v>0</v>
      </c>
      <c r="BE24" s="34">
        <v>0</v>
      </c>
      <c r="BF24" s="34">
        <f t="shared" si="20"/>
        <v>13.418999999999999</v>
      </c>
      <c r="BH24" s="17">
        <f t="shared" si="21"/>
        <v>0</v>
      </c>
      <c r="BI24" s="17">
        <f t="shared" si="22"/>
        <v>0</v>
      </c>
      <c r="BJ24" s="17">
        <f t="shared" si="23"/>
        <v>0</v>
      </c>
    </row>
    <row r="25" spans="1:47" ht="12.75">
      <c r="A25" s="5"/>
      <c r="B25" s="13"/>
      <c r="C25" s="13" t="s">
        <v>18</v>
      </c>
      <c r="D25" s="13" t="s">
        <v>267</v>
      </c>
      <c r="E25" s="5" t="s">
        <v>6</v>
      </c>
      <c r="F25" s="5" t="s">
        <v>6</v>
      </c>
      <c r="G25" s="5" t="s">
        <v>6</v>
      </c>
      <c r="H25" s="37">
        <f>SUM(H26:H26)</f>
        <v>0</v>
      </c>
      <c r="I25" s="37">
        <f>SUM(I26:I26)</f>
        <v>0</v>
      </c>
      <c r="J25" s="37">
        <f>SUM(J26:J26)</f>
        <v>0</v>
      </c>
      <c r="K25" s="26"/>
      <c r="L25" s="37">
        <f>SUM(L26:L26)</f>
        <v>0</v>
      </c>
      <c r="M25" s="26"/>
      <c r="AI25" s="26"/>
      <c r="AS25" s="37">
        <f>SUM(AJ26:AJ26)</f>
        <v>0</v>
      </c>
      <c r="AT25" s="37">
        <f>SUM(AK26:AK26)</f>
        <v>0</v>
      </c>
      <c r="AU25" s="37">
        <f>SUM(AL26:AL26)</f>
        <v>0</v>
      </c>
    </row>
    <row r="26" spans="1:62" ht="12.75">
      <c r="A26" s="4" t="s">
        <v>18</v>
      </c>
      <c r="B26" s="4"/>
      <c r="C26" s="4" t="s">
        <v>137</v>
      </c>
      <c r="D26" s="4" t="s">
        <v>268</v>
      </c>
      <c r="E26" s="4" t="s">
        <v>446</v>
      </c>
      <c r="F26" s="17">
        <v>78</v>
      </c>
      <c r="G26" s="17"/>
      <c r="H26" s="17">
        <f>F26*AO26</f>
        <v>0</v>
      </c>
      <c r="I26" s="17">
        <f>F26*AP26</f>
        <v>0</v>
      </c>
      <c r="J26" s="17">
        <f>F26*G26</f>
        <v>0</v>
      </c>
      <c r="K26" s="17">
        <v>0</v>
      </c>
      <c r="L26" s="17">
        <f>F26*K26</f>
        <v>0</v>
      </c>
      <c r="M26" s="29"/>
      <c r="Z26" s="34">
        <f>IF(AQ26="5",BJ26,0)</f>
        <v>0</v>
      </c>
      <c r="AB26" s="34">
        <f>IF(AQ26="1",BH26,0)</f>
        <v>0</v>
      </c>
      <c r="AC26" s="34">
        <f>IF(AQ26="1",BI26,0)</f>
        <v>0</v>
      </c>
      <c r="AD26" s="34">
        <f>IF(AQ26="7",BH26,0)</f>
        <v>0</v>
      </c>
      <c r="AE26" s="34">
        <f>IF(AQ26="7",BI26,0)</f>
        <v>0</v>
      </c>
      <c r="AF26" s="34">
        <f>IF(AQ26="2",BH26,0)</f>
        <v>0</v>
      </c>
      <c r="AG26" s="34">
        <f>IF(AQ26="2",BI26,0)</f>
        <v>0</v>
      </c>
      <c r="AH26" s="34">
        <f>IF(AQ26="0",BJ26,0)</f>
        <v>0</v>
      </c>
      <c r="AI26" s="26"/>
      <c r="AJ26" s="17">
        <f>IF(AN26=0,J26,0)</f>
        <v>0</v>
      </c>
      <c r="AK26" s="17">
        <f>IF(AN26=15,J26,0)</f>
        <v>0</v>
      </c>
      <c r="AL26" s="17">
        <f>IF(AN26=21,J26,0)</f>
        <v>0</v>
      </c>
      <c r="AN26" s="34">
        <v>21</v>
      </c>
      <c r="AO26" s="34">
        <f>G26*0</f>
        <v>0</v>
      </c>
      <c r="AP26" s="34">
        <f>G26*(1-0)</f>
        <v>0</v>
      </c>
      <c r="AQ26" s="29" t="s">
        <v>7</v>
      </c>
      <c r="AV26" s="34">
        <f>AW26+AX26</f>
        <v>0</v>
      </c>
      <c r="AW26" s="34">
        <f>F26*AO26</f>
        <v>0</v>
      </c>
      <c r="AX26" s="34">
        <f>F26*AP26</f>
        <v>0</v>
      </c>
      <c r="AY26" s="35" t="s">
        <v>479</v>
      </c>
      <c r="AZ26" s="35" t="s">
        <v>517</v>
      </c>
      <c r="BA26" s="26" t="s">
        <v>531</v>
      </c>
      <c r="BC26" s="34">
        <f>AW26+AX26</f>
        <v>0</v>
      </c>
      <c r="BD26" s="34">
        <f>G26/(100-BE26)*100</f>
        <v>0</v>
      </c>
      <c r="BE26" s="34">
        <v>0</v>
      </c>
      <c r="BF26" s="34">
        <f>L26</f>
        <v>0</v>
      </c>
      <c r="BH26" s="17">
        <f>F26*AO26</f>
        <v>0</v>
      </c>
      <c r="BI26" s="17">
        <f>F26*AP26</f>
        <v>0</v>
      </c>
      <c r="BJ26" s="17">
        <f>F26*G26</f>
        <v>0</v>
      </c>
    </row>
    <row r="27" spans="1:47" ht="12.75">
      <c r="A27" s="5"/>
      <c r="B27" s="13"/>
      <c r="C27" s="13" t="s">
        <v>19</v>
      </c>
      <c r="D27" s="13" t="s">
        <v>269</v>
      </c>
      <c r="E27" s="5" t="s">
        <v>6</v>
      </c>
      <c r="F27" s="5" t="s">
        <v>6</v>
      </c>
      <c r="G27" s="5" t="s">
        <v>6</v>
      </c>
      <c r="H27" s="37">
        <f>SUM(H28:H36)</f>
        <v>0</v>
      </c>
      <c r="I27" s="37">
        <f>SUM(I28:I36)</f>
        <v>0</v>
      </c>
      <c r="J27" s="37">
        <f>SUM(J28:J36)</f>
        <v>0</v>
      </c>
      <c r="K27" s="26"/>
      <c r="L27" s="37">
        <f>SUM(L28:L36)</f>
        <v>156</v>
      </c>
      <c r="M27" s="26"/>
      <c r="AI27" s="26"/>
      <c r="AS27" s="37">
        <f>SUM(AJ28:AJ36)</f>
        <v>0</v>
      </c>
      <c r="AT27" s="37">
        <f>SUM(AK28:AK36)</f>
        <v>0</v>
      </c>
      <c r="AU27" s="37">
        <f>SUM(AL28:AL36)</f>
        <v>0</v>
      </c>
    </row>
    <row r="28" spans="1:62" ht="12.75">
      <c r="A28" s="4" t="s">
        <v>19</v>
      </c>
      <c r="B28" s="4"/>
      <c r="C28" s="4" t="s">
        <v>138</v>
      </c>
      <c r="D28" s="4" t="s">
        <v>270</v>
      </c>
      <c r="E28" s="4" t="s">
        <v>446</v>
      </c>
      <c r="F28" s="17">
        <v>41</v>
      </c>
      <c r="G28" s="17"/>
      <c r="H28" s="17">
        <f>F28*AO28</f>
        <v>0</v>
      </c>
      <c r="I28" s="17">
        <f>F28*AP28</f>
        <v>0</v>
      </c>
      <c r="J28" s="17">
        <f>F28*G28</f>
        <v>0</v>
      </c>
      <c r="K28" s="17">
        <v>0</v>
      </c>
      <c r="L28" s="17">
        <f>F28*K28</f>
        <v>0</v>
      </c>
      <c r="M28" s="29"/>
      <c r="Z28" s="34">
        <f>IF(AQ28="5",BJ28,0)</f>
        <v>0</v>
      </c>
      <c r="AB28" s="34">
        <f>IF(AQ28="1",BH28,0)</f>
        <v>0</v>
      </c>
      <c r="AC28" s="34">
        <f>IF(AQ28="1",BI28,0)</f>
        <v>0</v>
      </c>
      <c r="AD28" s="34">
        <f>IF(AQ28="7",BH28,0)</f>
        <v>0</v>
      </c>
      <c r="AE28" s="34">
        <f>IF(AQ28="7",BI28,0)</f>
        <v>0</v>
      </c>
      <c r="AF28" s="34">
        <f>IF(AQ28="2",BH28,0)</f>
        <v>0</v>
      </c>
      <c r="AG28" s="34">
        <f>IF(AQ28="2",BI28,0)</f>
        <v>0</v>
      </c>
      <c r="AH28" s="34">
        <f>IF(AQ28="0",BJ28,0)</f>
        <v>0</v>
      </c>
      <c r="AI28" s="26"/>
      <c r="AJ28" s="17">
        <f>IF(AN28=0,J28,0)</f>
        <v>0</v>
      </c>
      <c r="AK28" s="17">
        <f>IF(AN28=15,J28,0)</f>
        <v>0</v>
      </c>
      <c r="AL28" s="17">
        <f>IF(AN28=21,J28,0)</f>
        <v>0</v>
      </c>
      <c r="AN28" s="34">
        <v>21</v>
      </c>
      <c r="AO28" s="34">
        <f>G28*0</f>
        <v>0</v>
      </c>
      <c r="AP28" s="34">
        <f>G28*(1-0)</f>
        <v>0</v>
      </c>
      <c r="AQ28" s="29" t="s">
        <v>7</v>
      </c>
      <c r="AV28" s="34">
        <f>AW28+AX28</f>
        <v>0</v>
      </c>
      <c r="AW28" s="34">
        <f>F28*AO28</f>
        <v>0</v>
      </c>
      <c r="AX28" s="34">
        <f>F28*AP28</f>
        <v>0</v>
      </c>
      <c r="AY28" s="35" t="s">
        <v>480</v>
      </c>
      <c r="AZ28" s="35" t="s">
        <v>517</v>
      </c>
      <c r="BA28" s="26" t="s">
        <v>531</v>
      </c>
      <c r="BC28" s="34">
        <f>AW28+AX28</f>
        <v>0</v>
      </c>
      <c r="BD28" s="34">
        <f>G28/(100-BE28)*100</f>
        <v>0</v>
      </c>
      <c r="BE28" s="34">
        <v>0</v>
      </c>
      <c r="BF28" s="34">
        <f>L28</f>
        <v>0</v>
      </c>
      <c r="BH28" s="17">
        <f>F28*AO28</f>
        <v>0</v>
      </c>
      <c r="BI28" s="17">
        <f>F28*AP28</f>
        <v>0</v>
      </c>
      <c r="BJ28" s="17">
        <f>F28*G28</f>
        <v>0</v>
      </c>
    </row>
    <row r="29" spans="1:62" ht="12.75">
      <c r="A29" s="4" t="s">
        <v>20</v>
      </c>
      <c r="B29" s="4"/>
      <c r="C29" s="4" t="s">
        <v>139</v>
      </c>
      <c r="D29" s="4" t="s">
        <v>271</v>
      </c>
      <c r="E29" s="4" t="s">
        <v>446</v>
      </c>
      <c r="F29" s="17">
        <v>65</v>
      </c>
      <c r="G29" s="17"/>
      <c r="H29" s="17">
        <f>F29*AO29</f>
        <v>0</v>
      </c>
      <c r="I29" s="17">
        <f>F29*AP29</f>
        <v>0</v>
      </c>
      <c r="J29" s="17">
        <f>F29*G29</f>
        <v>0</v>
      </c>
      <c r="K29" s="17">
        <v>2.4</v>
      </c>
      <c r="L29" s="17">
        <f>F29*K29</f>
        <v>156</v>
      </c>
      <c r="M29" s="29"/>
      <c r="Z29" s="34">
        <f>IF(AQ29="5",BJ29,0)</f>
        <v>0</v>
      </c>
      <c r="AB29" s="34">
        <f>IF(AQ29="1",BH29,0)</f>
        <v>0</v>
      </c>
      <c r="AC29" s="34">
        <f>IF(AQ29="1",BI29,0)</f>
        <v>0</v>
      </c>
      <c r="AD29" s="34">
        <f>IF(AQ29="7",BH29,0)</f>
        <v>0</v>
      </c>
      <c r="AE29" s="34">
        <f>IF(AQ29="7",BI29,0)</f>
        <v>0</v>
      </c>
      <c r="AF29" s="34">
        <f>IF(AQ29="2",BH29,0)</f>
        <v>0</v>
      </c>
      <c r="AG29" s="34">
        <f>IF(AQ29="2",BI29,0)</f>
        <v>0</v>
      </c>
      <c r="AH29" s="34">
        <f>IF(AQ29="0",BJ29,0)</f>
        <v>0</v>
      </c>
      <c r="AI29" s="26"/>
      <c r="AJ29" s="17">
        <f>IF(AN29=0,J29,0)</f>
        <v>0</v>
      </c>
      <c r="AK29" s="17">
        <f>IF(AN29=15,J29,0)</f>
        <v>0</v>
      </c>
      <c r="AL29" s="17">
        <f>IF(AN29=21,J29,0)</f>
        <v>0</v>
      </c>
      <c r="AN29" s="34">
        <v>21</v>
      </c>
      <c r="AO29" s="34">
        <f>G29*0</f>
        <v>0</v>
      </c>
      <c r="AP29" s="34">
        <f>G29*(1-0)</f>
        <v>0</v>
      </c>
      <c r="AQ29" s="29" t="s">
        <v>7</v>
      </c>
      <c r="AV29" s="34">
        <f>AW29+AX29</f>
        <v>0</v>
      </c>
      <c r="AW29" s="34">
        <f>F29*AO29</f>
        <v>0</v>
      </c>
      <c r="AX29" s="34">
        <f>F29*AP29</f>
        <v>0</v>
      </c>
      <c r="AY29" s="35" t="s">
        <v>480</v>
      </c>
      <c r="AZ29" s="35" t="s">
        <v>517</v>
      </c>
      <c r="BA29" s="26" t="s">
        <v>531</v>
      </c>
      <c r="BC29" s="34">
        <f>AW29+AX29</f>
        <v>0</v>
      </c>
      <c r="BD29" s="34">
        <f>G29/(100-BE29)*100</f>
        <v>0</v>
      </c>
      <c r="BE29" s="34">
        <v>0</v>
      </c>
      <c r="BF29" s="34">
        <f>L29</f>
        <v>156</v>
      </c>
      <c r="BH29" s="17">
        <f>F29*AO29</f>
        <v>0</v>
      </c>
      <c r="BI29" s="17">
        <f>F29*AP29</f>
        <v>0</v>
      </c>
      <c r="BJ29" s="17">
        <f>F29*G29</f>
        <v>0</v>
      </c>
    </row>
    <row r="30" ht="12.75">
      <c r="D30" s="15" t="s">
        <v>272</v>
      </c>
    </row>
    <row r="31" spans="1:62" ht="12.75">
      <c r="A31" s="4" t="s">
        <v>21</v>
      </c>
      <c r="B31" s="4"/>
      <c r="C31" s="4" t="s">
        <v>140</v>
      </c>
      <c r="D31" s="4" t="s">
        <v>273</v>
      </c>
      <c r="E31" s="4" t="s">
        <v>446</v>
      </c>
      <c r="F31" s="17">
        <v>266.44</v>
      </c>
      <c r="G31" s="17"/>
      <c r="H31" s="17">
        <f aca="true" t="shared" si="24" ref="H31:H36">F31*AO31</f>
        <v>0</v>
      </c>
      <c r="I31" s="17">
        <f aca="true" t="shared" si="25" ref="I31:I36">F31*AP31</f>
        <v>0</v>
      </c>
      <c r="J31" s="17">
        <f aca="true" t="shared" si="26" ref="J31:J36">F31*G31</f>
        <v>0</v>
      </c>
      <c r="K31" s="17">
        <v>0</v>
      </c>
      <c r="L31" s="17">
        <f aca="true" t="shared" si="27" ref="L31:L36">F31*K31</f>
        <v>0</v>
      </c>
      <c r="M31" s="29"/>
      <c r="Z31" s="34">
        <f aca="true" t="shared" si="28" ref="Z31:Z36">IF(AQ31="5",BJ31,0)</f>
        <v>0</v>
      </c>
      <c r="AB31" s="34">
        <f aca="true" t="shared" si="29" ref="AB31:AB36">IF(AQ31="1",BH31,0)</f>
        <v>0</v>
      </c>
      <c r="AC31" s="34">
        <f aca="true" t="shared" si="30" ref="AC31:AC36">IF(AQ31="1",BI31,0)</f>
        <v>0</v>
      </c>
      <c r="AD31" s="34">
        <f aca="true" t="shared" si="31" ref="AD31:AD36">IF(AQ31="7",BH31,0)</f>
        <v>0</v>
      </c>
      <c r="AE31" s="34">
        <f aca="true" t="shared" si="32" ref="AE31:AE36">IF(AQ31="7",BI31,0)</f>
        <v>0</v>
      </c>
      <c r="AF31" s="34">
        <f aca="true" t="shared" si="33" ref="AF31:AF36">IF(AQ31="2",BH31,0)</f>
        <v>0</v>
      </c>
      <c r="AG31" s="34">
        <f aca="true" t="shared" si="34" ref="AG31:AG36">IF(AQ31="2",BI31,0)</f>
        <v>0</v>
      </c>
      <c r="AH31" s="34">
        <f aca="true" t="shared" si="35" ref="AH31:AH36">IF(AQ31="0",BJ31,0)</f>
        <v>0</v>
      </c>
      <c r="AI31" s="26"/>
      <c r="AJ31" s="17">
        <f aca="true" t="shared" si="36" ref="AJ31:AJ36">IF(AN31=0,J31,0)</f>
        <v>0</v>
      </c>
      <c r="AK31" s="17">
        <f aca="true" t="shared" si="37" ref="AK31:AK36">IF(AN31=15,J31,0)</f>
        <v>0</v>
      </c>
      <c r="AL31" s="17">
        <f aca="true" t="shared" si="38" ref="AL31:AL36">IF(AN31=21,J31,0)</f>
        <v>0</v>
      </c>
      <c r="AN31" s="34">
        <v>21</v>
      </c>
      <c r="AO31" s="34">
        <f aca="true" t="shared" si="39" ref="AO31:AO36">G31*0</f>
        <v>0</v>
      </c>
      <c r="AP31" s="34">
        <f aca="true" t="shared" si="40" ref="AP31:AP36">G31*(1-0)</f>
        <v>0</v>
      </c>
      <c r="AQ31" s="29" t="s">
        <v>7</v>
      </c>
      <c r="AV31" s="34">
        <f aca="true" t="shared" si="41" ref="AV31:AV36">AW31+AX31</f>
        <v>0</v>
      </c>
      <c r="AW31" s="34">
        <f aca="true" t="shared" si="42" ref="AW31:AW36">F31*AO31</f>
        <v>0</v>
      </c>
      <c r="AX31" s="34">
        <f aca="true" t="shared" si="43" ref="AX31:AX36">F31*AP31</f>
        <v>0</v>
      </c>
      <c r="AY31" s="35" t="s">
        <v>480</v>
      </c>
      <c r="AZ31" s="35" t="s">
        <v>517</v>
      </c>
      <c r="BA31" s="26" t="s">
        <v>531</v>
      </c>
      <c r="BC31" s="34">
        <f aca="true" t="shared" si="44" ref="BC31:BC36">AW31+AX31</f>
        <v>0</v>
      </c>
      <c r="BD31" s="34">
        <f aca="true" t="shared" si="45" ref="BD31:BD36">G31/(100-BE31)*100</f>
        <v>0</v>
      </c>
      <c r="BE31" s="34">
        <v>0</v>
      </c>
      <c r="BF31" s="34">
        <f aca="true" t="shared" si="46" ref="BF31:BF36">L31</f>
        <v>0</v>
      </c>
      <c r="BH31" s="17">
        <f aca="true" t="shared" si="47" ref="BH31:BH36">F31*AO31</f>
        <v>0</v>
      </c>
      <c r="BI31" s="17">
        <f aca="true" t="shared" si="48" ref="BI31:BI36">F31*AP31</f>
        <v>0</v>
      </c>
      <c r="BJ31" s="17">
        <f aca="true" t="shared" si="49" ref="BJ31:BJ36">F31*G31</f>
        <v>0</v>
      </c>
    </row>
    <row r="32" spans="1:62" ht="12.75">
      <c r="A32" s="4" t="s">
        <v>22</v>
      </c>
      <c r="B32" s="4"/>
      <c r="C32" s="4" t="s">
        <v>141</v>
      </c>
      <c r="D32" s="4" t="s">
        <v>274</v>
      </c>
      <c r="E32" s="4" t="s">
        <v>446</v>
      </c>
      <c r="F32" s="17">
        <v>53.288</v>
      </c>
      <c r="G32" s="17"/>
      <c r="H32" s="17">
        <f t="shared" si="24"/>
        <v>0</v>
      </c>
      <c r="I32" s="17">
        <f t="shared" si="25"/>
        <v>0</v>
      </c>
      <c r="J32" s="17">
        <f t="shared" si="26"/>
        <v>0</v>
      </c>
      <c r="K32" s="17">
        <v>0</v>
      </c>
      <c r="L32" s="17">
        <f t="shared" si="27"/>
        <v>0</v>
      </c>
      <c r="M32" s="29"/>
      <c r="Z32" s="34">
        <f t="shared" si="28"/>
        <v>0</v>
      </c>
      <c r="AB32" s="34">
        <f t="shared" si="29"/>
        <v>0</v>
      </c>
      <c r="AC32" s="34">
        <f t="shared" si="30"/>
        <v>0</v>
      </c>
      <c r="AD32" s="34">
        <f t="shared" si="31"/>
        <v>0</v>
      </c>
      <c r="AE32" s="34">
        <f t="shared" si="32"/>
        <v>0</v>
      </c>
      <c r="AF32" s="34">
        <f t="shared" si="33"/>
        <v>0</v>
      </c>
      <c r="AG32" s="34">
        <f t="shared" si="34"/>
        <v>0</v>
      </c>
      <c r="AH32" s="34">
        <f t="shared" si="35"/>
        <v>0</v>
      </c>
      <c r="AI32" s="26"/>
      <c r="AJ32" s="17">
        <f t="shared" si="36"/>
        <v>0</v>
      </c>
      <c r="AK32" s="17">
        <f t="shared" si="37"/>
        <v>0</v>
      </c>
      <c r="AL32" s="17">
        <f t="shared" si="38"/>
        <v>0</v>
      </c>
      <c r="AN32" s="34">
        <v>21</v>
      </c>
      <c r="AO32" s="34">
        <f t="shared" si="39"/>
        <v>0</v>
      </c>
      <c r="AP32" s="34">
        <f t="shared" si="40"/>
        <v>0</v>
      </c>
      <c r="AQ32" s="29" t="s">
        <v>7</v>
      </c>
      <c r="AV32" s="34">
        <f t="shared" si="41"/>
        <v>0</v>
      </c>
      <c r="AW32" s="34">
        <f t="shared" si="42"/>
        <v>0</v>
      </c>
      <c r="AX32" s="34">
        <f t="shared" si="43"/>
        <v>0</v>
      </c>
      <c r="AY32" s="35" t="s">
        <v>480</v>
      </c>
      <c r="AZ32" s="35" t="s">
        <v>517</v>
      </c>
      <c r="BA32" s="26" t="s">
        <v>531</v>
      </c>
      <c r="BC32" s="34">
        <f t="shared" si="44"/>
        <v>0</v>
      </c>
      <c r="BD32" s="34">
        <f t="shared" si="45"/>
        <v>0</v>
      </c>
      <c r="BE32" s="34">
        <v>0</v>
      </c>
      <c r="BF32" s="34">
        <f t="shared" si="46"/>
        <v>0</v>
      </c>
      <c r="BH32" s="17">
        <f t="shared" si="47"/>
        <v>0</v>
      </c>
      <c r="BI32" s="17">
        <f t="shared" si="48"/>
        <v>0</v>
      </c>
      <c r="BJ32" s="17">
        <f t="shared" si="49"/>
        <v>0</v>
      </c>
    </row>
    <row r="33" spans="1:62" ht="12.75">
      <c r="A33" s="4" t="s">
        <v>23</v>
      </c>
      <c r="B33" s="4"/>
      <c r="C33" s="4" t="s">
        <v>142</v>
      </c>
      <c r="D33" s="4" t="s">
        <v>275</v>
      </c>
      <c r="E33" s="4" t="s">
        <v>446</v>
      </c>
      <c r="F33" s="17">
        <v>54.58</v>
      </c>
      <c r="G33" s="17"/>
      <c r="H33" s="17">
        <f t="shared" si="24"/>
        <v>0</v>
      </c>
      <c r="I33" s="17">
        <f t="shared" si="25"/>
        <v>0</v>
      </c>
      <c r="J33" s="17">
        <f t="shared" si="26"/>
        <v>0</v>
      </c>
      <c r="K33" s="17">
        <v>0</v>
      </c>
      <c r="L33" s="17">
        <f t="shared" si="27"/>
        <v>0</v>
      </c>
      <c r="M33" s="29"/>
      <c r="Z33" s="34">
        <f t="shared" si="28"/>
        <v>0</v>
      </c>
      <c r="AB33" s="34">
        <f t="shared" si="29"/>
        <v>0</v>
      </c>
      <c r="AC33" s="34">
        <f t="shared" si="30"/>
        <v>0</v>
      </c>
      <c r="AD33" s="34">
        <f t="shared" si="31"/>
        <v>0</v>
      </c>
      <c r="AE33" s="34">
        <f t="shared" si="32"/>
        <v>0</v>
      </c>
      <c r="AF33" s="34">
        <f t="shared" si="33"/>
        <v>0</v>
      </c>
      <c r="AG33" s="34">
        <f t="shared" si="34"/>
        <v>0</v>
      </c>
      <c r="AH33" s="34">
        <f t="shared" si="35"/>
        <v>0</v>
      </c>
      <c r="AI33" s="26"/>
      <c r="AJ33" s="17">
        <f t="shared" si="36"/>
        <v>0</v>
      </c>
      <c r="AK33" s="17">
        <f t="shared" si="37"/>
        <v>0</v>
      </c>
      <c r="AL33" s="17">
        <f t="shared" si="38"/>
        <v>0</v>
      </c>
      <c r="AN33" s="34">
        <v>21</v>
      </c>
      <c r="AO33" s="34">
        <f t="shared" si="39"/>
        <v>0</v>
      </c>
      <c r="AP33" s="34">
        <f t="shared" si="40"/>
        <v>0</v>
      </c>
      <c r="AQ33" s="29" t="s">
        <v>7</v>
      </c>
      <c r="AV33" s="34">
        <f t="shared" si="41"/>
        <v>0</v>
      </c>
      <c r="AW33" s="34">
        <f t="shared" si="42"/>
        <v>0</v>
      </c>
      <c r="AX33" s="34">
        <f t="shared" si="43"/>
        <v>0</v>
      </c>
      <c r="AY33" s="35" t="s">
        <v>480</v>
      </c>
      <c r="AZ33" s="35" t="s">
        <v>517</v>
      </c>
      <c r="BA33" s="26" t="s">
        <v>531</v>
      </c>
      <c r="BC33" s="34">
        <f t="shared" si="44"/>
        <v>0</v>
      </c>
      <c r="BD33" s="34">
        <f t="shared" si="45"/>
        <v>0</v>
      </c>
      <c r="BE33" s="34">
        <v>0</v>
      </c>
      <c r="BF33" s="34">
        <f t="shared" si="46"/>
        <v>0</v>
      </c>
      <c r="BH33" s="17">
        <f t="shared" si="47"/>
        <v>0</v>
      </c>
      <c r="BI33" s="17">
        <f t="shared" si="48"/>
        <v>0</v>
      </c>
      <c r="BJ33" s="17">
        <f t="shared" si="49"/>
        <v>0</v>
      </c>
    </row>
    <row r="34" spans="1:62" ht="12.75">
      <c r="A34" s="4" t="s">
        <v>24</v>
      </c>
      <c r="B34" s="4"/>
      <c r="C34" s="4" t="s">
        <v>143</v>
      </c>
      <c r="D34" s="4" t="s">
        <v>276</v>
      </c>
      <c r="E34" s="4" t="s">
        <v>446</v>
      </c>
      <c r="F34" s="17">
        <v>266.44</v>
      </c>
      <c r="G34" s="17"/>
      <c r="H34" s="17">
        <f t="shared" si="24"/>
        <v>0</v>
      </c>
      <c r="I34" s="17">
        <f t="shared" si="25"/>
        <v>0</v>
      </c>
      <c r="J34" s="17">
        <f t="shared" si="26"/>
        <v>0</v>
      </c>
      <c r="K34" s="17">
        <v>0</v>
      </c>
      <c r="L34" s="17">
        <f t="shared" si="27"/>
        <v>0</v>
      </c>
      <c r="M34" s="29"/>
      <c r="Z34" s="34">
        <f t="shared" si="28"/>
        <v>0</v>
      </c>
      <c r="AB34" s="34">
        <f t="shared" si="29"/>
        <v>0</v>
      </c>
      <c r="AC34" s="34">
        <f t="shared" si="30"/>
        <v>0</v>
      </c>
      <c r="AD34" s="34">
        <f t="shared" si="31"/>
        <v>0</v>
      </c>
      <c r="AE34" s="34">
        <f t="shared" si="32"/>
        <v>0</v>
      </c>
      <c r="AF34" s="34">
        <f t="shared" si="33"/>
        <v>0</v>
      </c>
      <c r="AG34" s="34">
        <f t="shared" si="34"/>
        <v>0</v>
      </c>
      <c r="AH34" s="34">
        <f t="shared" si="35"/>
        <v>0</v>
      </c>
      <c r="AI34" s="26"/>
      <c r="AJ34" s="17">
        <f t="shared" si="36"/>
        <v>0</v>
      </c>
      <c r="AK34" s="17">
        <f t="shared" si="37"/>
        <v>0</v>
      </c>
      <c r="AL34" s="17">
        <f t="shared" si="38"/>
        <v>0</v>
      </c>
      <c r="AN34" s="34">
        <v>21</v>
      </c>
      <c r="AO34" s="34">
        <f t="shared" si="39"/>
        <v>0</v>
      </c>
      <c r="AP34" s="34">
        <f t="shared" si="40"/>
        <v>0</v>
      </c>
      <c r="AQ34" s="29" t="s">
        <v>7</v>
      </c>
      <c r="AV34" s="34">
        <f t="shared" si="41"/>
        <v>0</v>
      </c>
      <c r="AW34" s="34">
        <f t="shared" si="42"/>
        <v>0</v>
      </c>
      <c r="AX34" s="34">
        <f t="shared" si="43"/>
        <v>0</v>
      </c>
      <c r="AY34" s="35" t="s">
        <v>480</v>
      </c>
      <c r="AZ34" s="35" t="s">
        <v>517</v>
      </c>
      <c r="BA34" s="26" t="s">
        <v>531</v>
      </c>
      <c r="BC34" s="34">
        <f t="shared" si="44"/>
        <v>0</v>
      </c>
      <c r="BD34" s="34">
        <f t="shared" si="45"/>
        <v>0</v>
      </c>
      <c r="BE34" s="34">
        <v>0</v>
      </c>
      <c r="BF34" s="34">
        <f t="shared" si="46"/>
        <v>0</v>
      </c>
      <c r="BH34" s="17">
        <f t="shared" si="47"/>
        <v>0</v>
      </c>
      <c r="BI34" s="17">
        <f t="shared" si="48"/>
        <v>0</v>
      </c>
      <c r="BJ34" s="17">
        <f t="shared" si="49"/>
        <v>0</v>
      </c>
    </row>
    <row r="35" spans="1:62" ht="12.75">
      <c r="A35" s="4" t="s">
        <v>25</v>
      </c>
      <c r="B35" s="4"/>
      <c r="C35" s="4" t="s">
        <v>144</v>
      </c>
      <c r="D35" s="4" t="s">
        <v>277</v>
      </c>
      <c r="E35" s="4" t="s">
        <v>446</v>
      </c>
      <c r="F35" s="17">
        <v>53.288</v>
      </c>
      <c r="G35" s="17"/>
      <c r="H35" s="17">
        <f t="shared" si="24"/>
        <v>0</v>
      </c>
      <c r="I35" s="17">
        <f t="shared" si="25"/>
        <v>0</v>
      </c>
      <c r="J35" s="17">
        <f t="shared" si="26"/>
        <v>0</v>
      </c>
      <c r="K35" s="17">
        <v>0</v>
      </c>
      <c r="L35" s="17">
        <f t="shared" si="27"/>
        <v>0</v>
      </c>
      <c r="M35" s="29"/>
      <c r="Z35" s="34">
        <f t="shared" si="28"/>
        <v>0</v>
      </c>
      <c r="AB35" s="34">
        <f t="shared" si="29"/>
        <v>0</v>
      </c>
      <c r="AC35" s="34">
        <f t="shared" si="30"/>
        <v>0</v>
      </c>
      <c r="AD35" s="34">
        <f t="shared" si="31"/>
        <v>0</v>
      </c>
      <c r="AE35" s="34">
        <f t="shared" si="32"/>
        <v>0</v>
      </c>
      <c r="AF35" s="34">
        <f t="shared" si="33"/>
        <v>0</v>
      </c>
      <c r="AG35" s="34">
        <f t="shared" si="34"/>
        <v>0</v>
      </c>
      <c r="AH35" s="34">
        <f t="shared" si="35"/>
        <v>0</v>
      </c>
      <c r="AI35" s="26"/>
      <c r="AJ35" s="17">
        <f t="shared" si="36"/>
        <v>0</v>
      </c>
      <c r="AK35" s="17">
        <f t="shared" si="37"/>
        <v>0</v>
      </c>
      <c r="AL35" s="17">
        <f t="shared" si="38"/>
        <v>0</v>
      </c>
      <c r="AN35" s="34">
        <v>21</v>
      </c>
      <c r="AO35" s="34">
        <f t="shared" si="39"/>
        <v>0</v>
      </c>
      <c r="AP35" s="34">
        <f t="shared" si="40"/>
        <v>0</v>
      </c>
      <c r="AQ35" s="29" t="s">
        <v>7</v>
      </c>
      <c r="AV35" s="34">
        <f t="shared" si="41"/>
        <v>0</v>
      </c>
      <c r="AW35" s="34">
        <f t="shared" si="42"/>
        <v>0</v>
      </c>
      <c r="AX35" s="34">
        <f t="shared" si="43"/>
        <v>0</v>
      </c>
      <c r="AY35" s="35" t="s">
        <v>480</v>
      </c>
      <c r="AZ35" s="35" t="s">
        <v>517</v>
      </c>
      <c r="BA35" s="26" t="s">
        <v>531</v>
      </c>
      <c r="BC35" s="34">
        <f t="shared" si="44"/>
        <v>0</v>
      </c>
      <c r="BD35" s="34">
        <f t="shared" si="45"/>
        <v>0</v>
      </c>
      <c r="BE35" s="34">
        <v>0</v>
      </c>
      <c r="BF35" s="34">
        <f t="shared" si="46"/>
        <v>0</v>
      </c>
      <c r="BH35" s="17">
        <f t="shared" si="47"/>
        <v>0</v>
      </c>
      <c r="BI35" s="17">
        <f t="shared" si="48"/>
        <v>0</v>
      </c>
      <c r="BJ35" s="17">
        <f t="shared" si="49"/>
        <v>0</v>
      </c>
    </row>
    <row r="36" spans="1:62" ht="12.75">
      <c r="A36" s="4" t="s">
        <v>26</v>
      </c>
      <c r="B36" s="4"/>
      <c r="C36" s="4" t="s">
        <v>145</v>
      </c>
      <c r="D36" s="4" t="s">
        <v>278</v>
      </c>
      <c r="E36" s="4" t="s">
        <v>446</v>
      </c>
      <c r="F36" s="17">
        <v>0.28</v>
      </c>
      <c r="G36" s="17"/>
      <c r="H36" s="17">
        <f t="shared" si="24"/>
        <v>0</v>
      </c>
      <c r="I36" s="17">
        <f t="shared" si="25"/>
        <v>0</v>
      </c>
      <c r="J36" s="17">
        <f t="shared" si="26"/>
        <v>0</v>
      </c>
      <c r="K36" s="17">
        <v>0</v>
      </c>
      <c r="L36" s="17">
        <f t="shared" si="27"/>
        <v>0</v>
      </c>
      <c r="M36" s="29"/>
      <c r="Z36" s="34">
        <f t="shared" si="28"/>
        <v>0</v>
      </c>
      <c r="AB36" s="34">
        <f t="shared" si="29"/>
        <v>0</v>
      </c>
      <c r="AC36" s="34">
        <f t="shared" si="30"/>
        <v>0</v>
      </c>
      <c r="AD36" s="34">
        <f t="shared" si="31"/>
        <v>0</v>
      </c>
      <c r="AE36" s="34">
        <f t="shared" si="32"/>
        <v>0</v>
      </c>
      <c r="AF36" s="34">
        <f t="shared" si="33"/>
        <v>0</v>
      </c>
      <c r="AG36" s="34">
        <f t="shared" si="34"/>
        <v>0</v>
      </c>
      <c r="AH36" s="34">
        <f t="shared" si="35"/>
        <v>0</v>
      </c>
      <c r="AI36" s="26"/>
      <c r="AJ36" s="17">
        <f t="shared" si="36"/>
        <v>0</v>
      </c>
      <c r="AK36" s="17">
        <f t="shared" si="37"/>
        <v>0</v>
      </c>
      <c r="AL36" s="17">
        <f t="shared" si="38"/>
        <v>0</v>
      </c>
      <c r="AN36" s="34">
        <v>21</v>
      </c>
      <c r="AO36" s="34">
        <f t="shared" si="39"/>
        <v>0</v>
      </c>
      <c r="AP36" s="34">
        <f t="shared" si="40"/>
        <v>0</v>
      </c>
      <c r="AQ36" s="29" t="s">
        <v>7</v>
      </c>
      <c r="AV36" s="34">
        <f t="shared" si="41"/>
        <v>0</v>
      </c>
      <c r="AW36" s="34">
        <f t="shared" si="42"/>
        <v>0</v>
      </c>
      <c r="AX36" s="34">
        <f t="shared" si="43"/>
        <v>0</v>
      </c>
      <c r="AY36" s="35" t="s">
        <v>480</v>
      </c>
      <c r="AZ36" s="35" t="s">
        <v>517</v>
      </c>
      <c r="BA36" s="26" t="s">
        <v>531</v>
      </c>
      <c r="BC36" s="34">
        <f t="shared" si="44"/>
        <v>0</v>
      </c>
      <c r="BD36" s="34">
        <f t="shared" si="45"/>
        <v>0</v>
      </c>
      <c r="BE36" s="34">
        <v>0</v>
      </c>
      <c r="BF36" s="34">
        <f t="shared" si="46"/>
        <v>0</v>
      </c>
      <c r="BH36" s="17">
        <f t="shared" si="47"/>
        <v>0</v>
      </c>
      <c r="BI36" s="17">
        <f t="shared" si="48"/>
        <v>0</v>
      </c>
      <c r="BJ36" s="17">
        <f t="shared" si="49"/>
        <v>0</v>
      </c>
    </row>
    <row r="37" spans="1:47" ht="12.75">
      <c r="A37" s="5"/>
      <c r="B37" s="13"/>
      <c r="C37" s="13" t="s">
        <v>21</v>
      </c>
      <c r="D37" s="13" t="s">
        <v>279</v>
      </c>
      <c r="E37" s="5" t="s">
        <v>6</v>
      </c>
      <c r="F37" s="5" t="s">
        <v>6</v>
      </c>
      <c r="G37" s="5" t="s">
        <v>6</v>
      </c>
      <c r="H37" s="37">
        <f>SUM(H38:H39)</f>
        <v>0</v>
      </c>
      <c r="I37" s="37">
        <f>SUM(I38:I39)</f>
        <v>0</v>
      </c>
      <c r="J37" s="37">
        <f>SUM(J38:J39)</f>
        <v>0</v>
      </c>
      <c r="K37" s="26"/>
      <c r="L37" s="37">
        <f>SUM(L38:L39)</f>
        <v>0.51678</v>
      </c>
      <c r="M37" s="26"/>
      <c r="AI37" s="26"/>
      <c r="AS37" s="37">
        <f>SUM(AJ38:AJ39)</f>
        <v>0</v>
      </c>
      <c r="AT37" s="37">
        <f>SUM(AK38:AK39)</f>
        <v>0</v>
      </c>
      <c r="AU37" s="37">
        <f>SUM(AL38:AL39)</f>
        <v>0</v>
      </c>
    </row>
    <row r="38" spans="1:62" ht="12.75">
      <c r="A38" s="4" t="s">
        <v>27</v>
      </c>
      <c r="B38" s="4"/>
      <c r="C38" s="4" t="s">
        <v>146</v>
      </c>
      <c r="D38" s="4" t="s">
        <v>280</v>
      </c>
      <c r="E38" s="4" t="s">
        <v>442</v>
      </c>
      <c r="F38" s="17">
        <v>522</v>
      </c>
      <c r="G38" s="17"/>
      <c r="H38" s="17">
        <f>F38*AO38</f>
        <v>0</v>
      </c>
      <c r="I38" s="17">
        <f>F38*AP38</f>
        <v>0</v>
      </c>
      <c r="J38" s="17">
        <f>F38*G38</f>
        <v>0</v>
      </c>
      <c r="K38" s="17">
        <v>0.00099</v>
      </c>
      <c r="L38" s="17">
        <f>F38*K38</f>
        <v>0.51678</v>
      </c>
      <c r="M38" s="29"/>
      <c r="Z38" s="34">
        <f>IF(AQ38="5",BJ38,0)</f>
        <v>0</v>
      </c>
      <c r="AB38" s="34">
        <f>IF(AQ38="1",BH38,0)</f>
        <v>0</v>
      </c>
      <c r="AC38" s="34">
        <f>IF(AQ38="1",BI38,0)</f>
        <v>0</v>
      </c>
      <c r="AD38" s="34">
        <f>IF(AQ38="7",BH38,0)</f>
        <v>0</v>
      </c>
      <c r="AE38" s="34">
        <f>IF(AQ38="7",BI38,0)</f>
        <v>0</v>
      </c>
      <c r="AF38" s="34">
        <f>IF(AQ38="2",BH38,0)</f>
        <v>0</v>
      </c>
      <c r="AG38" s="34">
        <f>IF(AQ38="2",BI38,0)</f>
        <v>0</v>
      </c>
      <c r="AH38" s="34">
        <f>IF(AQ38="0",BJ38,0)</f>
        <v>0</v>
      </c>
      <c r="AI38" s="26"/>
      <c r="AJ38" s="17">
        <f>IF(AN38=0,J38,0)</f>
        <v>0</v>
      </c>
      <c r="AK38" s="17">
        <f>IF(AN38=15,J38,0)</f>
        <v>0</v>
      </c>
      <c r="AL38" s="17">
        <f>IF(AN38=21,J38,0)</f>
        <v>0</v>
      </c>
      <c r="AN38" s="34">
        <v>21</v>
      </c>
      <c r="AO38" s="34">
        <f>G38*0.0930864197530864</f>
        <v>0</v>
      </c>
      <c r="AP38" s="34">
        <f>G38*(1-0.0930864197530864)</f>
        <v>0</v>
      </c>
      <c r="AQ38" s="29" t="s">
        <v>7</v>
      </c>
      <c r="AV38" s="34">
        <f>AW38+AX38</f>
        <v>0</v>
      </c>
      <c r="AW38" s="34">
        <f>F38*AO38</f>
        <v>0</v>
      </c>
      <c r="AX38" s="34">
        <f>F38*AP38</f>
        <v>0</v>
      </c>
      <c r="AY38" s="35" t="s">
        <v>481</v>
      </c>
      <c r="AZ38" s="35" t="s">
        <v>517</v>
      </c>
      <c r="BA38" s="26" t="s">
        <v>531</v>
      </c>
      <c r="BC38" s="34">
        <f>AW38+AX38</f>
        <v>0</v>
      </c>
      <c r="BD38" s="34">
        <f>G38/(100-BE38)*100</f>
        <v>0</v>
      </c>
      <c r="BE38" s="34">
        <v>0</v>
      </c>
      <c r="BF38" s="34">
        <f>L38</f>
        <v>0.51678</v>
      </c>
      <c r="BH38" s="17">
        <f>F38*AO38</f>
        <v>0</v>
      </c>
      <c r="BI38" s="17">
        <f>F38*AP38</f>
        <v>0</v>
      </c>
      <c r="BJ38" s="17">
        <f>F38*G38</f>
        <v>0</v>
      </c>
    </row>
    <row r="39" spans="1:62" ht="12.75">
      <c r="A39" s="4" t="s">
        <v>28</v>
      </c>
      <c r="B39" s="4"/>
      <c r="C39" s="4" t="s">
        <v>147</v>
      </c>
      <c r="D39" s="4" t="s">
        <v>281</v>
      </c>
      <c r="E39" s="4" t="s">
        <v>442</v>
      </c>
      <c r="F39" s="17">
        <v>522</v>
      </c>
      <c r="G39" s="17"/>
      <c r="H39" s="17">
        <f>F39*AO39</f>
        <v>0</v>
      </c>
      <c r="I39" s="17">
        <f>F39*AP39</f>
        <v>0</v>
      </c>
      <c r="J39" s="17">
        <f>F39*G39</f>
        <v>0</v>
      </c>
      <c r="K39" s="17">
        <v>0</v>
      </c>
      <c r="L39" s="17">
        <f>F39*K39</f>
        <v>0</v>
      </c>
      <c r="M39" s="29"/>
      <c r="Z39" s="34">
        <f>IF(AQ39="5",BJ39,0)</f>
        <v>0</v>
      </c>
      <c r="AB39" s="34">
        <f>IF(AQ39="1",BH39,0)</f>
        <v>0</v>
      </c>
      <c r="AC39" s="34">
        <f>IF(AQ39="1",BI39,0)</f>
        <v>0</v>
      </c>
      <c r="AD39" s="34">
        <f>IF(AQ39="7",BH39,0)</f>
        <v>0</v>
      </c>
      <c r="AE39" s="34">
        <f>IF(AQ39="7",BI39,0)</f>
        <v>0</v>
      </c>
      <c r="AF39" s="34">
        <f>IF(AQ39="2",BH39,0)</f>
        <v>0</v>
      </c>
      <c r="AG39" s="34">
        <f>IF(AQ39="2",BI39,0)</f>
        <v>0</v>
      </c>
      <c r="AH39" s="34">
        <f>IF(AQ39="0",BJ39,0)</f>
        <v>0</v>
      </c>
      <c r="AI39" s="26"/>
      <c r="AJ39" s="17">
        <f>IF(AN39=0,J39,0)</f>
        <v>0</v>
      </c>
      <c r="AK39" s="17">
        <f>IF(AN39=15,J39,0)</f>
        <v>0</v>
      </c>
      <c r="AL39" s="17">
        <f>IF(AN39=21,J39,0)</f>
        <v>0</v>
      </c>
      <c r="AN39" s="34">
        <v>21</v>
      </c>
      <c r="AO39" s="34">
        <f>G39*0</f>
        <v>0</v>
      </c>
      <c r="AP39" s="34">
        <f>G39*(1-0)</f>
        <v>0</v>
      </c>
      <c r="AQ39" s="29" t="s">
        <v>7</v>
      </c>
      <c r="AV39" s="34">
        <f>AW39+AX39</f>
        <v>0</v>
      </c>
      <c r="AW39" s="34">
        <f>F39*AO39</f>
        <v>0</v>
      </c>
      <c r="AX39" s="34">
        <f>F39*AP39</f>
        <v>0</v>
      </c>
      <c r="AY39" s="35" t="s">
        <v>481</v>
      </c>
      <c r="AZ39" s="35" t="s">
        <v>517</v>
      </c>
      <c r="BA39" s="26" t="s">
        <v>531</v>
      </c>
      <c r="BC39" s="34">
        <f>AW39+AX39</f>
        <v>0</v>
      </c>
      <c r="BD39" s="34">
        <f>G39/(100-BE39)*100</f>
        <v>0</v>
      </c>
      <c r="BE39" s="34">
        <v>0</v>
      </c>
      <c r="BF39" s="34">
        <f>L39</f>
        <v>0</v>
      </c>
      <c r="BH39" s="17">
        <f>F39*AO39</f>
        <v>0</v>
      </c>
      <c r="BI39" s="17">
        <f>F39*AP39</f>
        <v>0</v>
      </c>
      <c r="BJ39" s="17">
        <f>F39*G39</f>
        <v>0</v>
      </c>
    </row>
    <row r="40" spans="1:47" ht="12.75">
      <c r="A40" s="5"/>
      <c r="B40" s="13"/>
      <c r="C40" s="13" t="s">
        <v>22</v>
      </c>
      <c r="D40" s="13" t="s">
        <v>282</v>
      </c>
      <c r="E40" s="5" t="s">
        <v>6</v>
      </c>
      <c r="F40" s="5" t="s">
        <v>6</v>
      </c>
      <c r="G40" s="5" t="s">
        <v>6</v>
      </c>
      <c r="H40" s="37">
        <f>SUM(H41:H45)</f>
        <v>0</v>
      </c>
      <c r="I40" s="37">
        <f>SUM(I41:I45)</f>
        <v>0</v>
      </c>
      <c r="J40" s="37">
        <f>SUM(J41:J45)</f>
        <v>0</v>
      </c>
      <c r="K40" s="26"/>
      <c r="L40" s="37">
        <f>SUM(L41:L45)</f>
        <v>0</v>
      </c>
      <c r="M40" s="26"/>
      <c r="AI40" s="26"/>
      <c r="AS40" s="37">
        <f>SUM(AJ41:AJ45)</f>
        <v>0</v>
      </c>
      <c r="AT40" s="37">
        <f>SUM(AK41:AK45)</f>
        <v>0</v>
      </c>
      <c r="AU40" s="37">
        <f>SUM(AL41:AL45)</f>
        <v>0</v>
      </c>
    </row>
    <row r="41" spans="1:62" ht="12.75">
      <c r="A41" s="4" t="s">
        <v>29</v>
      </c>
      <c r="B41" s="4"/>
      <c r="C41" s="4" t="s">
        <v>148</v>
      </c>
      <c r="D41" s="4" t="s">
        <v>283</v>
      </c>
      <c r="E41" s="4" t="s">
        <v>446</v>
      </c>
      <c r="F41" s="17">
        <v>587.74</v>
      </c>
      <c r="G41" s="17"/>
      <c r="H41" s="17">
        <f>F41*AO41</f>
        <v>0</v>
      </c>
      <c r="I41" s="17">
        <f>F41*AP41</f>
        <v>0</v>
      </c>
      <c r="J41" s="17">
        <f>F41*G41</f>
        <v>0</v>
      </c>
      <c r="K41" s="17">
        <v>0</v>
      </c>
      <c r="L41" s="17">
        <f>F41*K41</f>
        <v>0</v>
      </c>
      <c r="M41" s="29"/>
      <c r="Z41" s="34">
        <f>IF(AQ41="5",BJ41,0)</f>
        <v>0</v>
      </c>
      <c r="AB41" s="34">
        <f>IF(AQ41="1",BH41,0)</f>
        <v>0</v>
      </c>
      <c r="AC41" s="34">
        <f>IF(AQ41="1",BI41,0)</f>
        <v>0</v>
      </c>
      <c r="AD41" s="34">
        <f>IF(AQ41="7",BH41,0)</f>
        <v>0</v>
      </c>
      <c r="AE41" s="34">
        <f>IF(AQ41="7",BI41,0)</f>
        <v>0</v>
      </c>
      <c r="AF41" s="34">
        <f>IF(AQ41="2",BH41,0)</f>
        <v>0</v>
      </c>
      <c r="AG41" s="34">
        <f>IF(AQ41="2",BI41,0)</f>
        <v>0</v>
      </c>
      <c r="AH41" s="34">
        <f>IF(AQ41="0",BJ41,0)</f>
        <v>0</v>
      </c>
      <c r="AI41" s="26"/>
      <c r="AJ41" s="17">
        <f>IF(AN41=0,J41,0)</f>
        <v>0</v>
      </c>
      <c r="AK41" s="17">
        <f>IF(AN41=15,J41,0)</f>
        <v>0</v>
      </c>
      <c r="AL41" s="17">
        <f>IF(AN41=21,J41,0)</f>
        <v>0</v>
      </c>
      <c r="AN41" s="34">
        <v>21</v>
      </c>
      <c r="AO41" s="34">
        <f>G41*0</f>
        <v>0</v>
      </c>
      <c r="AP41" s="34">
        <f>G41*(1-0)</f>
        <v>0</v>
      </c>
      <c r="AQ41" s="29" t="s">
        <v>7</v>
      </c>
      <c r="AV41" s="34">
        <f>AW41+AX41</f>
        <v>0</v>
      </c>
      <c r="AW41" s="34">
        <f>F41*AO41</f>
        <v>0</v>
      </c>
      <c r="AX41" s="34">
        <f>F41*AP41</f>
        <v>0</v>
      </c>
      <c r="AY41" s="35" t="s">
        <v>482</v>
      </c>
      <c r="AZ41" s="35" t="s">
        <v>517</v>
      </c>
      <c r="BA41" s="26" t="s">
        <v>531</v>
      </c>
      <c r="BC41" s="34">
        <f>AW41+AX41</f>
        <v>0</v>
      </c>
      <c r="BD41" s="34">
        <f>G41/(100-BE41)*100</f>
        <v>0</v>
      </c>
      <c r="BE41" s="34">
        <v>0</v>
      </c>
      <c r="BF41" s="34">
        <f>L41</f>
        <v>0</v>
      </c>
      <c r="BH41" s="17">
        <f>F41*AO41</f>
        <v>0</v>
      </c>
      <c r="BI41" s="17">
        <f>F41*AP41</f>
        <v>0</v>
      </c>
      <c r="BJ41" s="17">
        <f>F41*G41</f>
        <v>0</v>
      </c>
    </row>
    <row r="42" ht="12.75">
      <c r="D42" s="15" t="s">
        <v>284</v>
      </c>
    </row>
    <row r="43" spans="1:62" ht="12.75">
      <c r="A43" s="4" t="s">
        <v>30</v>
      </c>
      <c r="B43" s="4"/>
      <c r="C43" s="4" t="s">
        <v>148</v>
      </c>
      <c r="D43" s="4" t="s">
        <v>283</v>
      </c>
      <c r="E43" s="4" t="s">
        <v>446</v>
      </c>
      <c r="F43" s="17">
        <v>54.58</v>
      </c>
      <c r="G43" s="17"/>
      <c r="H43" s="17">
        <f>F43*AO43</f>
        <v>0</v>
      </c>
      <c r="I43" s="17">
        <f>F43*AP43</f>
        <v>0</v>
      </c>
      <c r="J43" s="17">
        <f>F43*G43</f>
        <v>0</v>
      </c>
      <c r="K43" s="17">
        <v>0</v>
      </c>
      <c r="L43" s="17">
        <f>F43*K43</f>
        <v>0</v>
      </c>
      <c r="M43" s="29"/>
      <c r="Z43" s="34">
        <f>IF(AQ43="5",BJ43,0)</f>
        <v>0</v>
      </c>
      <c r="AB43" s="34">
        <f>IF(AQ43="1",BH43,0)</f>
        <v>0</v>
      </c>
      <c r="AC43" s="34">
        <f>IF(AQ43="1",BI43,0)</f>
        <v>0</v>
      </c>
      <c r="AD43" s="34">
        <f>IF(AQ43="7",BH43,0)</f>
        <v>0</v>
      </c>
      <c r="AE43" s="34">
        <f>IF(AQ43="7",BI43,0)</f>
        <v>0</v>
      </c>
      <c r="AF43" s="34">
        <f>IF(AQ43="2",BH43,0)</f>
        <v>0</v>
      </c>
      <c r="AG43" s="34">
        <f>IF(AQ43="2",BI43,0)</f>
        <v>0</v>
      </c>
      <c r="AH43" s="34">
        <f>IF(AQ43="0",BJ43,0)</f>
        <v>0</v>
      </c>
      <c r="AI43" s="26"/>
      <c r="AJ43" s="17">
        <f>IF(AN43=0,J43,0)</f>
        <v>0</v>
      </c>
      <c r="AK43" s="17">
        <f>IF(AN43=15,J43,0)</f>
        <v>0</v>
      </c>
      <c r="AL43" s="17">
        <f>IF(AN43=21,J43,0)</f>
        <v>0</v>
      </c>
      <c r="AN43" s="34">
        <v>21</v>
      </c>
      <c r="AO43" s="34">
        <f>G43*0</f>
        <v>0</v>
      </c>
      <c r="AP43" s="34">
        <f>G43*(1-0)</f>
        <v>0</v>
      </c>
      <c r="AQ43" s="29" t="s">
        <v>7</v>
      </c>
      <c r="AV43" s="34">
        <f>AW43+AX43</f>
        <v>0</v>
      </c>
      <c r="AW43" s="34">
        <f>F43*AO43</f>
        <v>0</v>
      </c>
      <c r="AX43" s="34">
        <f>F43*AP43</f>
        <v>0</v>
      </c>
      <c r="AY43" s="35" t="s">
        <v>482</v>
      </c>
      <c r="AZ43" s="35" t="s">
        <v>517</v>
      </c>
      <c r="BA43" s="26" t="s">
        <v>531</v>
      </c>
      <c r="BC43" s="34">
        <f>AW43+AX43</f>
        <v>0</v>
      </c>
      <c r="BD43" s="34">
        <f>G43/(100-BE43)*100</f>
        <v>0</v>
      </c>
      <c r="BE43" s="34">
        <v>0</v>
      </c>
      <c r="BF43" s="34">
        <f>L43</f>
        <v>0</v>
      </c>
      <c r="BH43" s="17">
        <f>F43*AO43</f>
        <v>0</v>
      </c>
      <c r="BI43" s="17">
        <f>F43*AP43</f>
        <v>0</v>
      </c>
      <c r="BJ43" s="17">
        <f>F43*G43</f>
        <v>0</v>
      </c>
    </row>
    <row r="44" spans="1:62" ht="12.75">
      <c r="A44" s="4" t="s">
        <v>31</v>
      </c>
      <c r="B44" s="4"/>
      <c r="C44" s="4" t="s">
        <v>149</v>
      </c>
      <c r="D44" s="4" t="s">
        <v>285</v>
      </c>
      <c r="E44" s="4" t="s">
        <v>446</v>
      </c>
      <c r="F44" s="17">
        <v>587.74</v>
      </c>
      <c r="G44" s="17"/>
      <c r="H44" s="17">
        <f>F44*AO44</f>
        <v>0</v>
      </c>
      <c r="I44" s="17">
        <f>F44*AP44</f>
        <v>0</v>
      </c>
      <c r="J44" s="17">
        <f>F44*G44</f>
        <v>0</v>
      </c>
      <c r="K44" s="17">
        <v>0</v>
      </c>
      <c r="L44" s="17">
        <f>F44*K44</f>
        <v>0</v>
      </c>
      <c r="M44" s="29"/>
      <c r="Z44" s="34">
        <f>IF(AQ44="5",BJ44,0)</f>
        <v>0</v>
      </c>
      <c r="AB44" s="34">
        <f>IF(AQ44="1",BH44,0)</f>
        <v>0</v>
      </c>
      <c r="AC44" s="34">
        <f>IF(AQ44="1",BI44,0)</f>
        <v>0</v>
      </c>
      <c r="AD44" s="34">
        <f>IF(AQ44="7",BH44,0)</f>
        <v>0</v>
      </c>
      <c r="AE44" s="34">
        <f>IF(AQ44="7",BI44,0)</f>
        <v>0</v>
      </c>
      <c r="AF44" s="34">
        <f>IF(AQ44="2",BH44,0)</f>
        <v>0</v>
      </c>
      <c r="AG44" s="34">
        <f>IF(AQ44="2",BI44,0)</f>
        <v>0</v>
      </c>
      <c r="AH44" s="34">
        <f>IF(AQ44="0",BJ44,0)</f>
        <v>0</v>
      </c>
      <c r="AI44" s="26"/>
      <c r="AJ44" s="17">
        <f>IF(AN44=0,J44,0)</f>
        <v>0</v>
      </c>
      <c r="AK44" s="17">
        <f>IF(AN44=15,J44,0)</f>
        <v>0</v>
      </c>
      <c r="AL44" s="17">
        <f>IF(AN44=21,J44,0)</f>
        <v>0</v>
      </c>
      <c r="AN44" s="34">
        <v>21</v>
      </c>
      <c r="AO44" s="34">
        <f>G44*0</f>
        <v>0</v>
      </c>
      <c r="AP44" s="34">
        <f>G44*(1-0)</f>
        <v>0</v>
      </c>
      <c r="AQ44" s="29" t="s">
        <v>7</v>
      </c>
      <c r="AV44" s="34">
        <f>AW44+AX44</f>
        <v>0</v>
      </c>
      <c r="AW44" s="34">
        <f>F44*AO44</f>
        <v>0</v>
      </c>
      <c r="AX44" s="34">
        <f>F44*AP44</f>
        <v>0</v>
      </c>
      <c r="AY44" s="35" t="s">
        <v>482</v>
      </c>
      <c r="AZ44" s="35" t="s">
        <v>517</v>
      </c>
      <c r="BA44" s="26" t="s">
        <v>531</v>
      </c>
      <c r="BC44" s="34">
        <f>AW44+AX44</f>
        <v>0</v>
      </c>
      <c r="BD44" s="34">
        <f>G44/(100-BE44)*100</f>
        <v>0</v>
      </c>
      <c r="BE44" s="34">
        <v>0</v>
      </c>
      <c r="BF44" s="34">
        <f>L44</f>
        <v>0</v>
      </c>
      <c r="BH44" s="17">
        <f>F44*AO44</f>
        <v>0</v>
      </c>
      <c r="BI44" s="17">
        <f>F44*AP44</f>
        <v>0</v>
      </c>
      <c r="BJ44" s="17">
        <f>F44*G44</f>
        <v>0</v>
      </c>
    </row>
    <row r="45" spans="1:62" ht="12.75">
      <c r="A45" s="4" t="s">
        <v>32</v>
      </c>
      <c r="B45" s="4"/>
      <c r="C45" s="4" t="s">
        <v>150</v>
      </c>
      <c r="D45" s="4" t="s">
        <v>286</v>
      </c>
      <c r="E45" s="4" t="s">
        <v>446</v>
      </c>
      <c r="F45" s="17">
        <v>31.2</v>
      </c>
      <c r="G45" s="17"/>
      <c r="H45" s="17">
        <f>F45*AO45</f>
        <v>0</v>
      </c>
      <c r="I45" s="17">
        <f>F45*AP45</f>
        <v>0</v>
      </c>
      <c r="J45" s="17">
        <f>F45*G45</f>
        <v>0</v>
      </c>
      <c r="K45" s="17">
        <v>0</v>
      </c>
      <c r="L45" s="17">
        <f>F45*K45</f>
        <v>0</v>
      </c>
      <c r="M45" s="29"/>
      <c r="Z45" s="34">
        <f>IF(AQ45="5",BJ45,0)</f>
        <v>0</v>
      </c>
      <c r="AB45" s="34">
        <f>IF(AQ45="1",BH45,0)</f>
        <v>0</v>
      </c>
      <c r="AC45" s="34">
        <f>IF(AQ45="1",BI45,0)</f>
        <v>0</v>
      </c>
      <c r="AD45" s="34">
        <f>IF(AQ45="7",BH45,0)</f>
        <v>0</v>
      </c>
      <c r="AE45" s="34">
        <f>IF(AQ45="7",BI45,0)</f>
        <v>0</v>
      </c>
      <c r="AF45" s="34">
        <f>IF(AQ45="2",BH45,0)</f>
        <v>0</v>
      </c>
      <c r="AG45" s="34">
        <f>IF(AQ45="2",BI45,0)</f>
        <v>0</v>
      </c>
      <c r="AH45" s="34">
        <f>IF(AQ45="0",BJ45,0)</f>
        <v>0</v>
      </c>
      <c r="AI45" s="26"/>
      <c r="AJ45" s="17">
        <f>IF(AN45=0,J45,0)</f>
        <v>0</v>
      </c>
      <c r="AK45" s="17">
        <f>IF(AN45=15,J45,0)</f>
        <v>0</v>
      </c>
      <c r="AL45" s="17">
        <f>IF(AN45=21,J45,0)</f>
        <v>0</v>
      </c>
      <c r="AN45" s="34">
        <v>21</v>
      </c>
      <c r="AO45" s="34">
        <f>G45*0</f>
        <v>0</v>
      </c>
      <c r="AP45" s="34">
        <f>G45*(1-0)</f>
        <v>0</v>
      </c>
      <c r="AQ45" s="29" t="s">
        <v>7</v>
      </c>
      <c r="AV45" s="34">
        <f>AW45+AX45</f>
        <v>0</v>
      </c>
      <c r="AW45" s="34">
        <f>F45*AO45</f>
        <v>0</v>
      </c>
      <c r="AX45" s="34">
        <f>F45*AP45</f>
        <v>0</v>
      </c>
      <c r="AY45" s="35" t="s">
        <v>482</v>
      </c>
      <c r="AZ45" s="35" t="s">
        <v>517</v>
      </c>
      <c r="BA45" s="26" t="s">
        <v>531</v>
      </c>
      <c r="BC45" s="34">
        <f>AW45+AX45</f>
        <v>0</v>
      </c>
      <c r="BD45" s="34">
        <f>G45/(100-BE45)*100</f>
        <v>0</v>
      </c>
      <c r="BE45" s="34">
        <v>0</v>
      </c>
      <c r="BF45" s="34">
        <f>L45</f>
        <v>0</v>
      </c>
      <c r="BH45" s="17">
        <f>F45*AO45</f>
        <v>0</v>
      </c>
      <c r="BI45" s="17">
        <f>F45*AP45</f>
        <v>0</v>
      </c>
      <c r="BJ45" s="17">
        <f>F45*G45</f>
        <v>0</v>
      </c>
    </row>
    <row r="46" ht="12.75">
      <c r="D46" s="15" t="s">
        <v>287</v>
      </c>
    </row>
    <row r="47" spans="1:47" ht="12.75">
      <c r="A47" s="5"/>
      <c r="B47" s="13"/>
      <c r="C47" s="13" t="s">
        <v>23</v>
      </c>
      <c r="D47" s="13" t="s">
        <v>288</v>
      </c>
      <c r="E47" s="5" t="s">
        <v>6</v>
      </c>
      <c r="F47" s="5" t="s">
        <v>6</v>
      </c>
      <c r="G47" s="5" t="s">
        <v>6</v>
      </c>
      <c r="H47" s="37">
        <f>SUM(H48:H51)</f>
        <v>0</v>
      </c>
      <c r="I47" s="37">
        <f>SUM(I48:I51)</f>
        <v>0</v>
      </c>
      <c r="J47" s="37">
        <f>SUM(J48:J51)</f>
        <v>0</v>
      </c>
      <c r="K47" s="26"/>
      <c r="L47" s="37">
        <f>SUM(L48:L51)</f>
        <v>414.222</v>
      </c>
      <c r="M47" s="26"/>
      <c r="AI47" s="26"/>
      <c r="AS47" s="37">
        <f>SUM(AJ48:AJ51)</f>
        <v>0</v>
      </c>
      <c r="AT47" s="37">
        <f>SUM(AK48:AK51)</f>
        <v>0</v>
      </c>
      <c r="AU47" s="37">
        <f>SUM(AL48:AL51)</f>
        <v>0</v>
      </c>
    </row>
    <row r="48" spans="1:62" ht="12.75">
      <c r="A48" s="4" t="s">
        <v>33</v>
      </c>
      <c r="B48" s="4"/>
      <c r="C48" s="4" t="s">
        <v>151</v>
      </c>
      <c r="D48" s="4" t="s">
        <v>289</v>
      </c>
      <c r="E48" s="4" t="s">
        <v>446</v>
      </c>
      <c r="F48" s="17">
        <v>587.74</v>
      </c>
      <c r="G48" s="17"/>
      <c r="H48" s="17">
        <f>F48*AO48</f>
        <v>0</v>
      </c>
      <c r="I48" s="17">
        <f>F48*AP48</f>
        <v>0</v>
      </c>
      <c r="J48" s="17">
        <f>F48*G48</f>
        <v>0</v>
      </c>
      <c r="K48" s="17">
        <v>0</v>
      </c>
      <c r="L48" s="17">
        <f>F48*K48</f>
        <v>0</v>
      </c>
      <c r="M48" s="29"/>
      <c r="Z48" s="34">
        <f>IF(AQ48="5",BJ48,0)</f>
        <v>0</v>
      </c>
      <c r="AB48" s="34">
        <f>IF(AQ48="1",BH48,0)</f>
        <v>0</v>
      </c>
      <c r="AC48" s="34">
        <f>IF(AQ48="1",BI48,0)</f>
        <v>0</v>
      </c>
      <c r="AD48" s="34">
        <f>IF(AQ48="7",BH48,0)</f>
        <v>0</v>
      </c>
      <c r="AE48" s="34">
        <f>IF(AQ48="7",BI48,0)</f>
        <v>0</v>
      </c>
      <c r="AF48" s="34">
        <f>IF(AQ48="2",BH48,0)</f>
        <v>0</v>
      </c>
      <c r="AG48" s="34">
        <f>IF(AQ48="2",BI48,0)</f>
        <v>0</v>
      </c>
      <c r="AH48" s="34">
        <f>IF(AQ48="0",BJ48,0)</f>
        <v>0</v>
      </c>
      <c r="AI48" s="26"/>
      <c r="AJ48" s="17">
        <f>IF(AN48=0,J48,0)</f>
        <v>0</v>
      </c>
      <c r="AK48" s="17">
        <f>IF(AN48=15,J48,0)</f>
        <v>0</v>
      </c>
      <c r="AL48" s="17">
        <f>IF(AN48=21,J48,0)</f>
        <v>0</v>
      </c>
      <c r="AN48" s="34">
        <v>21</v>
      </c>
      <c r="AO48" s="34">
        <f>G48*0</f>
        <v>0</v>
      </c>
      <c r="AP48" s="34">
        <f>G48*(1-0)</f>
        <v>0</v>
      </c>
      <c r="AQ48" s="29" t="s">
        <v>7</v>
      </c>
      <c r="AV48" s="34">
        <f>AW48+AX48</f>
        <v>0</v>
      </c>
      <c r="AW48" s="34">
        <f>F48*AO48</f>
        <v>0</v>
      </c>
      <c r="AX48" s="34">
        <f>F48*AP48</f>
        <v>0</v>
      </c>
      <c r="AY48" s="35" t="s">
        <v>483</v>
      </c>
      <c r="AZ48" s="35" t="s">
        <v>517</v>
      </c>
      <c r="BA48" s="26" t="s">
        <v>531</v>
      </c>
      <c r="BC48" s="34">
        <f>AW48+AX48</f>
        <v>0</v>
      </c>
      <c r="BD48" s="34">
        <f>G48/(100-BE48)*100</f>
        <v>0</v>
      </c>
      <c r="BE48" s="34">
        <v>0</v>
      </c>
      <c r="BF48" s="34">
        <f>L48</f>
        <v>0</v>
      </c>
      <c r="BH48" s="17">
        <f>F48*AO48</f>
        <v>0</v>
      </c>
      <c r="BI48" s="17">
        <f>F48*AP48</f>
        <v>0</v>
      </c>
      <c r="BJ48" s="17">
        <f>F48*G48</f>
        <v>0</v>
      </c>
    </row>
    <row r="49" ht="12.75">
      <c r="D49" s="15" t="s">
        <v>290</v>
      </c>
    </row>
    <row r="50" spans="1:62" ht="12.75">
      <c r="A50" s="4" t="s">
        <v>34</v>
      </c>
      <c r="B50" s="4"/>
      <c r="C50" s="4" t="s">
        <v>152</v>
      </c>
      <c r="D50" s="4" t="s">
        <v>291</v>
      </c>
      <c r="E50" s="4" t="s">
        <v>446</v>
      </c>
      <c r="F50" s="17">
        <v>641.89</v>
      </c>
      <c r="G50" s="17"/>
      <c r="H50" s="17">
        <f>F50*AO50</f>
        <v>0</v>
      </c>
      <c r="I50" s="17">
        <f>F50*AP50</f>
        <v>0</v>
      </c>
      <c r="J50" s="17">
        <f>F50*G50</f>
        <v>0</v>
      </c>
      <c r="K50" s="17">
        <v>0</v>
      </c>
      <c r="L50" s="17">
        <f>F50*K50</f>
        <v>0</v>
      </c>
      <c r="M50" s="29"/>
      <c r="Z50" s="34">
        <f>IF(AQ50="5",BJ50,0)</f>
        <v>0</v>
      </c>
      <c r="AB50" s="34">
        <f>IF(AQ50="1",BH50,0)</f>
        <v>0</v>
      </c>
      <c r="AC50" s="34">
        <f>IF(AQ50="1",BI50,0)</f>
        <v>0</v>
      </c>
      <c r="AD50" s="34">
        <f>IF(AQ50="7",BH50,0)</f>
        <v>0</v>
      </c>
      <c r="AE50" s="34">
        <f>IF(AQ50="7",BI50,0)</f>
        <v>0</v>
      </c>
      <c r="AF50" s="34">
        <f>IF(AQ50="2",BH50,0)</f>
        <v>0</v>
      </c>
      <c r="AG50" s="34">
        <f>IF(AQ50="2",BI50,0)</f>
        <v>0</v>
      </c>
      <c r="AH50" s="34">
        <f>IF(AQ50="0",BJ50,0)</f>
        <v>0</v>
      </c>
      <c r="AI50" s="26"/>
      <c r="AJ50" s="17">
        <f>IF(AN50=0,J50,0)</f>
        <v>0</v>
      </c>
      <c r="AK50" s="17">
        <f>IF(AN50=15,J50,0)</f>
        <v>0</v>
      </c>
      <c r="AL50" s="17">
        <f>IF(AN50=21,J50,0)</f>
        <v>0</v>
      </c>
      <c r="AN50" s="34">
        <v>21</v>
      </c>
      <c r="AO50" s="34">
        <f>G50*0</f>
        <v>0</v>
      </c>
      <c r="AP50" s="34">
        <f>G50*(1-0)</f>
        <v>0</v>
      </c>
      <c r="AQ50" s="29" t="s">
        <v>7</v>
      </c>
      <c r="AV50" s="34">
        <f>AW50+AX50</f>
        <v>0</v>
      </c>
      <c r="AW50" s="34">
        <f>F50*AO50</f>
        <v>0</v>
      </c>
      <c r="AX50" s="34">
        <f>F50*AP50</f>
        <v>0</v>
      </c>
      <c r="AY50" s="35" t="s">
        <v>483</v>
      </c>
      <c r="AZ50" s="35" t="s">
        <v>517</v>
      </c>
      <c r="BA50" s="26" t="s">
        <v>531</v>
      </c>
      <c r="BC50" s="34">
        <f>AW50+AX50</f>
        <v>0</v>
      </c>
      <c r="BD50" s="34">
        <f>G50/(100-BE50)*100</f>
        <v>0</v>
      </c>
      <c r="BE50" s="34">
        <v>0</v>
      </c>
      <c r="BF50" s="34">
        <f>L50</f>
        <v>0</v>
      </c>
      <c r="BH50" s="17">
        <f>F50*AO50</f>
        <v>0</v>
      </c>
      <c r="BI50" s="17">
        <f>F50*AP50</f>
        <v>0</v>
      </c>
      <c r="BJ50" s="17">
        <f>F50*G50</f>
        <v>0</v>
      </c>
    </row>
    <row r="51" spans="1:62" ht="12.75">
      <c r="A51" s="4" t="s">
        <v>35</v>
      </c>
      <c r="B51" s="4"/>
      <c r="C51" s="4" t="s">
        <v>153</v>
      </c>
      <c r="D51" s="4" t="s">
        <v>292</v>
      </c>
      <c r="E51" s="4" t="s">
        <v>446</v>
      </c>
      <c r="F51" s="17">
        <v>243.66</v>
      </c>
      <c r="G51" s="17"/>
      <c r="H51" s="17">
        <f>F51*AO51</f>
        <v>0</v>
      </c>
      <c r="I51" s="17">
        <f>F51*AP51</f>
        <v>0</v>
      </c>
      <c r="J51" s="17">
        <f>F51*G51</f>
        <v>0</v>
      </c>
      <c r="K51" s="17">
        <v>1.7</v>
      </c>
      <c r="L51" s="17">
        <f>F51*K51</f>
        <v>414.222</v>
      </c>
      <c r="M51" s="29"/>
      <c r="Z51" s="34">
        <f>IF(AQ51="5",BJ51,0)</f>
        <v>0</v>
      </c>
      <c r="AB51" s="34">
        <f>IF(AQ51="1",BH51,0)</f>
        <v>0</v>
      </c>
      <c r="AC51" s="34">
        <f>IF(AQ51="1",BI51,0)</f>
        <v>0</v>
      </c>
      <c r="AD51" s="34">
        <f>IF(AQ51="7",BH51,0)</f>
        <v>0</v>
      </c>
      <c r="AE51" s="34">
        <f>IF(AQ51="7",BI51,0)</f>
        <v>0</v>
      </c>
      <c r="AF51" s="34">
        <f>IF(AQ51="2",BH51,0)</f>
        <v>0</v>
      </c>
      <c r="AG51" s="34">
        <f>IF(AQ51="2",BI51,0)</f>
        <v>0</v>
      </c>
      <c r="AH51" s="34">
        <f>IF(AQ51="0",BJ51,0)</f>
        <v>0</v>
      </c>
      <c r="AI51" s="26"/>
      <c r="AJ51" s="17">
        <f>IF(AN51=0,J51,0)</f>
        <v>0</v>
      </c>
      <c r="AK51" s="17">
        <f>IF(AN51=15,J51,0)</f>
        <v>0</v>
      </c>
      <c r="AL51" s="17">
        <f>IF(AN51=21,J51,0)</f>
        <v>0</v>
      </c>
      <c r="AN51" s="34">
        <v>21</v>
      </c>
      <c r="AO51" s="34">
        <f>G51*0.493144802176916</f>
        <v>0</v>
      </c>
      <c r="AP51" s="34">
        <f>G51*(1-0.493144802176916)</f>
        <v>0</v>
      </c>
      <c r="AQ51" s="29" t="s">
        <v>7</v>
      </c>
      <c r="AV51" s="34">
        <f>AW51+AX51</f>
        <v>0</v>
      </c>
      <c r="AW51" s="34">
        <f>F51*AO51</f>
        <v>0</v>
      </c>
      <c r="AX51" s="34">
        <f>F51*AP51</f>
        <v>0</v>
      </c>
      <c r="AY51" s="35" t="s">
        <v>483</v>
      </c>
      <c r="AZ51" s="35" t="s">
        <v>517</v>
      </c>
      <c r="BA51" s="26" t="s">
        <v>531</v>
      </c>
      <c r="BC51" s="34">
        <f>AW51+AX51</f>
        <v>0</v>
      </c>
      <c r="BD51" s="34">
        <f>G51/(100-BE51)*100</f>
        <v>0</v>
      </c>
      <c r="BE51" s="34">
        <v>0</v>
      </c>
      <c r="BF51" s="34">
        <f>L51</f>
        <v>414.222</v>
      </c>
      <c r="BH51" s="17">
        <f>F51*AO51</f>
        <v>0</v>
      </c>
      <c r="BI51" s="17">
        <f>F51*AP51</f>
        <v>0</v>
      </c>
      <c r="BJ51" s="17">
        <f>F51*G51</f>
        <v>0</v>
      </c>
    </row>
    <row r="52" ht="12.75">
      <c r="D52" s="15" t="s">
        <v>293</v>
      </c>
    </row>
    <row r="53" spans="1:47" ht="12.75">
      <c r="A53" s="5"/>
      <c r="B53" s="13"/>
      <c r="C53" s="13" t="s">
        <v>24</v>
      </c>
      <c r="D53" s="13" t="s">
        <v>294</v>
      </c>
      <c r="E53" s="5" t="s">
        <v>6</v>
      </c>
      <c r="F53" s="5" t="s">
        <v>6</v>
      </c>
      <c r="G53" s="5" t="s">
        <v>6</v>
      </c>
      <c r="H53" s="37">
        <f>SUM(H54:H56)</f>
        <v>0</v>
      </c>
      <c r="I53" s="37">
        <f>SUM(I54:I56)</f>
        <v>0</v>
      </c>
      <c r="J53" s="37">
        <f>SUM(J54:J56)</f>
        <v>0</v>
      </c>
      <c r="K53" s="26"/>
      <c r="L53" s="37">
        <f>SUM(L54:L56)</f>
        <v>0.03927</v>
      </c>
      <c r="M53" s="26"/>
      <c r="AI53" s="26"/>
      <c r="AS53" s="37">
        <f>SUM(AJ54:AJ56)</f>
        <v>0</v>
      </c>
      <c r="AT53" s="37">
        <f>SUM(AK54:AK56)</f>
        <v>0</v>
      </c>
      <c r="AU53" s="37">
        <f>SUM(AL54:AL56)</f>
        <v>0</v>
      </c>
    </row>
    <row r="54" spans="1:62" ht="12.75">
      <c r="A54" s="4" t="s">
        <v>36</v>
      </c>
      <c r="B54" s="4"/>
      <c r="C54" s="4" t="s">
        <v>154</v>
      </c>
      <c r="D54" s="4" t="s">
        <v>295</v>
      </c>
      <c r="E54" s="4" t="s">
        <v>442</v>
      </c>
      <c r="F54" s="17">
        <v>1309</v>
      </c>
      <c r="G54" s="17"/>
      <c r="H54" s="17">
        <f>F54*AO54</f>
        <v>0</v>
      </c>
      <c r="I54" s="17">
        <f>F54*AP54</f>
        <v>0</v>
      </c>
      <c r="J54" s="17">
        <f>F54*G54</f>
        <v>0</v>
      </c>
      <c r="K54" s="17">
        <v>0</v>
      </c>
      <c r="L54" s="17">
        <f>F54*K54</f>
        <v>0</v>
      </c>
      <c r="M54" s="29"/>
      <c r="Z54" s="34">
        <f>IF(AQ54="5",BJ54,0)</f>
        <v>0</v>
      </c>
      <c r="AB54" s="34">
        <f>IF(AQ54="1",BH54,0)</f>
        <v>0</v>
      </c>
      <c r="AC54" s="34">
        <f>IF(AQ54="1",BI54,0)</f>
        <v>0</v>
      </c>
      <c r="AD54" s="34">
        <f>IF(AQ54="7",BH54,0)</f>
        <v>0</v>
      </c>
      <c r="AE54" s="34">
        <f>IF(AQ54="7",BI54,0)</f>
        <v>0</v>
      </c>
      <c r="AF54" s="34">
        <f>IF(AQ54="2",BH54,0)</f>
        <v>0</v>
      </c>
      <c r="AG54" s="34">
        <f>IF(AQ54="2",BI54,0)</f>
        <v>0</v>
      </c>
      <c r="AH54" s="34">
        <f>IF(AQ54="0",BJ54,0)</f>
        <v>0</v>
      </c>
      <c r="AI54" s="26"/>
      <c r="AJ54" s="17">
        <f>IF(AN54=0,J54,0)</f>
        <v>0</v>
      </c>
      <c r="AK54" s="17">
        <f>IF(AN54=15,J54,0)</f>
        <v>0</v>
      </c>
      <c r="AL54" s="17">
        <f>IF(AN54=21,J54,0)</f>
        <v>0</v>
      </c>
      <c r="AN54" s="34">
        <v>21</v>
      </c>
      <c r="AO54" s="34">
        <f>G54*0.0721045515998197</f>
        <v>0</v>
      </c>
      <c r="AP54" s="34">
        <f>G54*(1-0.0721045515998197)</f>
        <v>0</v>
      </c>
      <c r="AQ54" s="29" t="s">
        <v>7</v>
      </c>
      <c r="AV54" s="34">
        <f>AW54+AX54</f>
        <v>0</v>
      </c>
      <c r="AW54" s="34">
        <f>F54*AO54</f>
        <v>0</v>
      </c>
      <c r="AX54" s="34">
        <f>F54*AP54</f>
        <v>0</v>
      </c>
      <c r="AY54" s="35" t="s">
        <v>484</v>
      </c>
      <c r="AZ54" s="35" t="s">
        <v>517</v>
      </c>
      <c r="BA54" s="26" t="s">
        <v>531</v>
      </c>
      <c r="BC54" s="34">
        <f>AW54+AX54</f>
        <v>0</v>
      </c>
      <c r="BD54" s="34">
        <f>G54/(100-BE54)*100</f>
        <v>0</v>
      </c>
      <c r="BE54" s="34">
        <v>0</v>
      </c>
      <c r="BF54" s="34">
        <f>L54</f>
        <v>0</v>
      </c>
      <c r="BH54" s="17">
        <f>F54*AO54</f>
        <v>0</v>
      </c>
      <c r="BI54" s="17">
        <f>F54*AP54</f>
        <v>0</v>
      </c>
      <c r="BJ54" s="17">
        <f>F54*G54</f>
        <v>0</v>
      </c>
    </row>
    <row r="55" spans="1:62" ht="12.75">
      <c r="A55" s="4" t="s">
        <v>37</v>
      </c>
      <c r="B55" s="4"/>
      <c r="C55" s="4" t="s">
        <v>155</v>
      </c>
      <c r="D55" s="4" t="s">
        <v>296</v>
      </c>
      <c r="E55" s="4" t="s">
        <v>442</v>
      </c>
      <c r="F55" s="17">
        <v>1309</v>
      </c>
      <c r="G55" s="17"/>
      <c r="H55" s="17">
        <f>F55*AO55</f>
        <v>0</v>
      </c>
      <c r="I55" s="17">
        <f>F55*AP55</f>
        <v>0</v>
      </c>
      <c r="J55" s="17">
        <f>F55*G55</f>
        <v>0</v>
      </c>
      <c r="K55" s="17">
        <v>0</v>
      </c>
      <c r="L55" s="17">
        <f>F55*K55</f>
        <v>0</v>
      </c>
      <c r="M55" s="29"/>
      <c r="Z55" s="34">
        <f>IF(AQ55="5",BJ55,0)</f>
        <v>0</v>
      </c>
      <c r="AB55" s="34">
        <f>IF(AQ55="1",BH55,0)</f>
        <v>0</v>
      </c>
      <c r="AC55" s="34">
        <f>IF(AQ55="1",BI55,0)</f>
        <v>0</v>
      </c>
      <c r="AD55" s="34">
        <f>IF(AQ55="7",BH55,0)</f>
        <v>0</v>
      </c>
      <c r="AE55" s="34">
        <f>IF(AQ55="7",BI55,0)</f>
        <v>0</v>
      </c>
      <c r="AF55" s="34">
        <f>IF(AQ55="2",BH55,0)</f>
        <v>0</v>
      </c>
      <c r="AG55" s="34">
        <f>IF(AQ55="2",BI55,0)</f>
        <v>0</v>
      </c>
      <c r="AH55" s="34">
        <f>IF(AQ55="0",BJ55,0)</f>
        <v>0</v>
      </c>
      <c r="AI55" s="26"/>
      <c r="AJ55" s="17">
        <f>IF(AN55=0,J55,0)</f>
        <v>0</v>
      </c>
      <c r="AK55" s="17">
        <f>IF(AN55=15,J55,0)</f>
        <v>0</v>
      </c>
      <c r="AL55" s="17">
        <f>IF(AN55=21,J55,0)</f>
        <v>0</v>
      </c>
      <c r="AN55" s="34">
        <v>21</v>
      </c>
      <c r="AO55" s="34">
        <f>G55*0</f>
        <v>0</v>
      </c>
      <c r="AP55" s="34">
        <f>G55*(1-0)</f>
        <v>0</v>
      </c>
      <c r="AQ55" s="29" t="s">
        <v>7</v>
      </c>
      <c r="AV55" s="34">
        <f>AW55+AX55</f>
        <v>0</v>
      </c>
      <c r="AW55" s="34">
        <f>F55*AO55</f>
        <v>0</v>
      </c>
      <c r="AX55" s="34">
        <f>F55*AP55</f>
        <v>0</v>
      </c>
      <c r="AY55" s="35" t="s">
        <v>484</v>
      </c>
      <c r="AZ55" s="35" t="s">
        <v>517</v>
      </c>
      <c r="BA55" s="26" t="s">
        <v>531</v>
      </c>
      <c r="BC55" s="34">
        <f>AW55+AX55</f>
        <v>0</v>
      </c>
      <c r="BD55" s="34">
        <f>G55/(100-BE55)*100</f>
        <v>0</v>
      </c>
      <c r="BE55" s="34">
        <v>0</v>
      </c>
      <c r="BF55" s="34">
        <f>L55</f>
        <v>0</v>
      </c>
      <c r="BH55" s="17">
        <f>F55*AO55</f>
        <v>0</v>
      </c>
      <c r="BI55" s="17">
        <f>F55*AP55</f>
        <v>0</v>
      </c>
      <c r="BJ55" s="17">
        <f>F55*G55</f>
        <v>0</v>
      </c>
    </row>
    <row r="56" spans="1:62" ht="12.75">
      <c r="A56" s="4" t="s">
        <v>38</v>
      </c>
      <c r="B56" s="4"/>
      <c r="C56" s="4" t="s">
        <v>156</v>
      </c>
      <c r="D56" s="4" t="s">
        <v>297</v>
      </c>
      <c r="E56" s="4" t="s">
        <v>442</v>
      </c>
      <c r="F56" s="17">
        <v>1309</v>
      </c>
      <c r="G56" s="17"/>
      <c r="H56" s="17">
        <f>F56*AO56</f>
        <v>0</v>
      </c>
      <c r="I56" s="17">
        <f>F56*AP56</f>
        <v>0</v>
      </c>
      <c r="J56" s="17">
        <f>F56*G56</f>
        <v>0</v>
      </c>
      <c r="K56" s="17">
        <v>3E-05</v>
      </c>
      <c r="L56" s="17">
        <f>F56*K56</f>
        <v>0.03927</v>
      </c>
      <c r="M56" s="29"/>
      <c r="Z56" s="34">
        <f>IF(AQ56="5",BJ56,0)</f>
        <v>0</v>
      </c>
      <c r="AB56" s="34">
        <f>IF(AQ56="1",BH56,0)</f>
        <v>0</v>
      </c>
      <c r="AC56" s="34">
        <f>IF(AQ56="1",BI56,0)</f>
        <v>0</v>
      </c>
      <c r="AD56" s="34">
        <f>IF(AQ56="7",BH56,0)</f>
        <v>0</v>
      </c>
      <c r="AE56" s="34">
        <f>IF(AQ56="7",BI56,0)</f>
        <v>0</v>
      </c>
      <c r="AF56" s="34">
        <f>IF(AQ56="2",BH56,0)</f>
        <v>0</v>
      </c>
      <c r="AG56" s="34">
        <f>IF(AQ56="2",BI56,0)</f>
        <v>0</v>
      </c>
      <c r="AH56" s="34">
        <f>IF(AQ56="0",BJ56,0)</f>
        <v>0</v>
      </c>
      <c r="AI56" s="26"/>
      <c r="AJ56" s="17">
        <f>IF(AN56=0,J56,0)</f>
        <v>0</v>
      </c>
      <c r="AK56" s="17">
        <f>IF(AN56=15,J56,0)</f>
        <v>0</v>
      </c>
      <c r="AL56" s="17">
        <f>IF(AN56=21,J56,0)</f>
        <v>0</v>
      </c>
      <c r="AN56" s="34">
        <v>21</v>
      </c>
      <c r="AO56" s="34">
        <f>G56*0.0462595823420566</f>
        <v>0</v>
      </c>
      <c r="AP56" s="34">
        <f>G56*(1-0.0462595823420566)</f>
        <v>0</v>
      </c>
      <c r="AQ56" s="29" t="s">
        <v>7</v>
      </c>
      <c r="AV56" s="34">
        <f>AW56+AX56</f>
        <v>0</v>
      </c>
      <c r="AW56" s="34">
        <f>F56*AO56</f>
        <v>0</v>
      </c>
      <c r="AX56" s="34">
        <f>F56*AP56</f>
        <v>0</v>
      </c>
      <c r="AY56" s="35" t="s">
        <v>484</v>
      </c>
      <c r="AZ56" s="35" t="s">
        <v>517</v>
      </c>
      <c r="BA56" s="26" t="s">
        <v>531</v>
      </c>
      <c r="BC56" s="34">
        <f>AW56+AX56</f>
        <v>0</v>
      </c>
      <c r="BD56" s="34">
        <f>G56/(100-BE56)*100</f>
        <v>0</v>
      </c>
      <c r="BE56" s="34">
        <v>0</v>
      </c>
      <c r="BF56" s="34">
        <f>L56</f>
        <v>0.03927</v>
      </c>
      <c r="BH56" s="17">
        <f>F56*AO56</f>
        <v>0</v>
      </c>
      <c r="BI56" s="17">
        <f>F56*AP56</f>
        <v>0</v>
      </c>
      <c r="BJ56" s="17">
        <f>F56*G56</f>
        <v>0</v>
      </c>
    </row>
    <row r="57" ht="12.75">
      <c r="D57" s="15" t="s">
        <v>298</v>
      </c>
    </row>
    <row r="58" spans="1:47" ht="12.75">
      <c r="A58" s="5"/>
      <c r="B58" s="13"/>
      <c r="C58" s="13" t="s">
        <v>33</v>
      </c>
      <c r="D58" s="13" t="s">
        <v>299</v>
      </c>
      <c r="E58" s="5" t="s">
        <v>6</v>
      </c>
      <c r="F58" s="5" t="s">
        <v>6</v>
      </c>
      <c r="G58" s="5" t="s">
        <v>6</v>
      </c>
      <c r="H58" s="37">
        <f>SUM(H59:H61)</f>
        <v>0</v>
      </c>
      <c r="I58" s="37">
        <f>SUM(I59:I61)</f>
        <v>0</v>
      </c>
      <c r="J58" s="37">
        <f>SUM(J59:J61)</f>
        <v>0</v>
      </c>
      <c r="K58" s="26"/>
      <c r="L58" s="37">
        <f>SUM(L59:L61)</f>
        <v>11.834094</v>
      </c>
      <c r="M58" s="26"/>
      <c r="AI58" s="26"/>
      <c r="AS58" s="37">
        <f>SUM(AJ59:AJ61)</f>
        <v>0</v>
      </c>
      <c r="AT58" s="37">
        <f>SUM(AK59:AK61)</f>
        <v>0</v>
      </c>
      <c r="AU58" s="37">
        <f>SUM(AL59:AL61)</f>
        <v>0</v>
      </c>
    </row>
    <row r="59" spans="1:62" ht="12.75">
      <c r="A59" s="4" t="s">
        <v>39</v>
      </c>
      <c r="B59" s="4"/>
      <c r="C59" s="4" t="s">
        <v>157</v>
      </c>
      <c r="D59" s="4" t="s">
        <v>300</v>
      </c>
      <c r="E59" s="4" t="s">
        <v>442</v>
      </c>
      <c r="F59" s="17">
        <v>21.6</v>
      </c>
      <c r="G59" s="17"/>
      <c r="H59" s="17">
        <f>F59*AO59</f>
        <v>0</v>
      </c>
      <c r="I59" s="17">
        <f>F59*AP59</f>
        <v>0</v>
      </c>
      <c r="J59" s="17">
        <f>F59*G59</f>
        <v>0</v>
      </c>
      <c r="K59" s="17">
        <v>0.52</v>
      </c>
      <c r="L59" s="17">
        <f>F59*K59</f>
        <v>11.232000000000001</v>
      </c>
      <c r="M59" s="29"/>
      <c r="Z59" s="34">
        <f>IF(AQ59="5",BJ59,0)</f>
        <v>0</v>
      </c>
      <c r="AB59" s="34">
        <f>IF(AQ59="1",BH59,0)</f>
        <v>0</v>
      </c>
      <c r="AC59" s="34">
        <f>IF(AQ59="1",BI59,0)</f>
        <v>0</v>
      </c>
      <c r="AD59" s="34">
        <f>IF(AQ59="7",BH59,0)</f>
        <v>0</v>
      </c>
      <c r="AE59" s="34">
        <f>IF(AQ59="7",BI59,0)</f>
        <v>0</v>
      </c>
      <c r="AF59" s="34">
        <f>IF(AQ59="2",BH59,0)</f>
        <v>0</v>
      </c>
      <c r="AG59" s="34">
        <f>IF(AQ59="2",BI59,0)</f>
        <v>0</v>
      </c>
      <c r="AH59" s="34">
        <f>IF(AQ59="0",BJ59,0)</f>
        <v>0</v>
      </c>
      <c r="AI59" s="26"/>
      <c r="AJ59" s="17">
        <f>IF(AN59=0,J59,0)</f>
        <v>0</v>
      </c>
      <c r="AK59" s="17">
        <f>IF(AN59=15,J59,0)</f>
        <v>0</v>
      </c>
      <c r="AL59" s="17">
        <f>IF(AN59=21,J59,0)</f>
        <v>0</v>
      </c>
      <c r="AN59" s="34">
        <v>21</v>
      </c>
      <c r="AO59" s="34">
        <f>G59*0.604906771344455</f>
        <v>0</v>
      </c>
      <c r="AP59" s="34">
        <f>G59*(1-0.604906771344455)</f>
        <v>0</v>
      </c>
      <c r="AQ59" s="29" t="s">
        <v>7</v>
      </c>
      <c r="AV59" s="34">
        <f>AW59+AX59</f>
        <v>0</v>
      </c>
      <c r="AW59" s="34">
        <f>F59*AO59</f>
        <v>0</v>
      </c>
      <c r="AX59" s="34">
        <f>F59*AP59</f>
        <v>0</v>
      </c>
      <c r="AY59" s="35" t="s">
        <v>485</v>
      </c>
      <c r="AZ59" s="35" t="s">
        <v>518</v>
      </c>
      <c r="BA59" s="26" t="s">
        <v>531</v>
      </c>
      <c r="BC59" s="34">
        <f>AW59+AX59</f>
        <v>0</v>
      </c>
      <c r="BD59" s="34">
        <f>G59/(100-BE59)*100</f>
        <v>0</v>
      </c>
      <c r="BE59" s="34">
        <v>0</v>
      </c>
      <c r="BF59" s="34">
        <f>L59</f>
        <v>11.232000000000001</v>
      </c>
      <c r="BH59" s="17">
        <f>F59*AO59</f>
        <v>0</v>
      </c>
      <c r="BI59" s="17">
        <f>F59*AP59</f>
        <v>0</v>
      </c>
      <c r="BJ59" s="17">
        <f>F59*G59</f>
        <v>0</v>
      </c>
    </row>
    <row r="60" ht="12.75">
      <c r="D60" s="15" t="s">
        <v>301</v>
      </c>
    </row>
    <row r="61" spans="1:62" ht="12.75">
      <c r="A61" s="4" t="s">
        <v>40</v>
      </c>
      <c r="B61" s="4"/>
      <c r="C61" s="4" t="s">
        <v>158</v>
      </c>
      <c r="D61" s="4" t="s">
        <v>302</v>
      </c>
      <c r="E61" s="4" t="s">
        <v>447</v>
      </c>
      <c r="F61" s="17">
        <v>0.6</v>
      </c>
      <c r="G61" s="17"/>
      <c r="H61" s="17">
        <f>F61*AO61</f>
        <v>0</v>
      </c>
      <c r="I61" s="17">
        <f>F61*AP61</f>
        <v>0</v>
      </c>
      <c r="J61" s="17">
        <f>F61*G61</f>
        <v>0</v>
      </c>
      <c r="K61" s="17">
        <v>1.00349</v>
      </c>
      <c r="L61" s="17">
        <f>F61*K61</f>
        <v>0.602094</v>
      </c>
      <c r="M61" s="29"/>
      <c r="Z61" s="34">
        <f>IF(AQ61="5",BJ61,0)</f>
        <v>0</v>
      </c>
      <c r="AB61" s="34">
        <f>IF(AQ61="1",BH61,0)</f>
        <v>0</v>
      </c>
      <c r="AC61" s="34">
        <f>IF(AQ61="1",BI61,0)</f>
        <v>0</v>
      </c>
      <c r="AD61" s="34">
        <f>IF(AQ61="7",BH61,0)</f>
        <v>0</v>
      </c>
      <c r="AE61" s="34">
        <f>IF(AQ61="7",BI61,0)</f>
        <v>0</v>
      </c>
      <c r="AF61" s="34">
        <f>IF(AQ61="2",BH61,0)</f>
        <v>0</v>
      </c>
      <c r="AG61" s="34">
        <f>IF(AQ61="2",BI61,0)</f>
        <v>0</v>
      </c>
      <c r="AH61" s="34">
        <f>IF(AQ61="0",BJ61,0)</f>
        <v>0</v>
      </c>
      <c r="AI61" s="26"/>
      <c r="AJ61" s="17">
        <f>IF(AN61=0,J61,0)</f>
        <v>0</v>
      </c>
      <c r="AK61" s="17">
        <f>IF(AN61=15,J61,0)</f>
        <v>0</v>
      </c>
      <c r="AL61" s="17">
        <f>IF(AN61=21,J61,0)</f>
        <v>0</v>
      </c>
      <c r="AN61" s="34">
        <v>21</v>
      </c>
      <c r="AO61" s="34">
        <f>G61*0.500880995592429</f>
        <v>0</v>
      </c>
      <c r="AP61" s="34">
        <f>G61*(1-0.500880995592429)</f>
        <v>0</v>
      </c>
      <c r="AQ61" s="29" t="s">
        <v>7</v>
      </c>
      <c r="AV61" s="34">
        <f>AW61+AX61</f>
        <v>0</v>
      </c>
      <c r="AW61" s="34">
        <f>F61*AO61</f>
        <v>0</v>
      </c>
      <c r="AX61" s="34">
        <f>F61*AP61</f>
        <v>0</v>
      </c>
      <c r="AY61" s="35" t="s">
        <v>485</v>
      </c>
      <c r="AZ61" s="35" t="s">
        <v>518</v>
      </c>
      <c r="BA61" s="26" t="s">
        <v>531</v>
      </c>
      <c r="BC61" s="34">
        <f>AW61+AX61</f>
        <v>0</v>
      </c>
      <c r="BD61" s="34">
        <f>G61/(100-BE61)*100</f>
        <v>0</v>
      </c>
      <c r="BE61" s="34">
        <v>0</v>
      </c>
      <c r="BF61" s="34">
        <f>L61</f>
        <v>0.602094</v>
      </c>
      <c r="BH61" s="17">
        <f>F61*AO61</f>
        <v>0</v>
      </c>
      <c r="BI61" s="17">
        <f>F61*AP61</f>
        <v>0</v>
      </c>
      <c r="BJ61" s="17">
        <f>F61*G61</f>
        <v>0</v>
      </c>
    </row>
    <row r="62" spans="1:47" ht="12.75">
      <c r="A62" s="5"/>
      <c r="B62" s="13"/>
      <c r="C62" s="13" t="s">
        <v>34</v>
      </c>
      <c r="D62" s="13" t="s">
        <v>303</v>
      </c>
      <c r="E62" s="5" t="s">
        <v>6</v>
      </c>
      <c r="F62" s="5" t="s">
        <v>6</v>
      </c>
      <c r="G62" s="5" t="s">
        <v>6</v>
      </c>
      <c r="H62" s="37">
        <f>SUM(H63:H64)</f>
        <v>0</v>
      </c>
      <c r="I62" s="37">
        <f>SUM(I63:I64)</f>
        <v>0</v>
      </c>
      <c r="J62" s="37">
        <f>SUM(J63:J64)</f>
        <v>0</v>
      </c>
      <c r="K62" s="26"/>
      <c r="L62" s="37">
        <f>SUM(L63:L64)</f>
        <v>0.306</v>
      </c>
      <c r="M62" s="26"/>
      <c r="AI62" s="26"/>
      <c r="AS62" s="37">
        <f>SUM(AJ63:AJ64)</f>
        <v>0</v>
      </c>
      <c r="AT62" s="37">
        <f>SUM(AK63:AK64)</f>
        <v>0</v>
      </c>
      <c r="AU62" s="37">
        <f>SUM(AL63:AL64)</f>
        <v>0</v>
      </c>
    </row>
    <row r="63" spans="1:62" ht="12.75">
      <c r="A63" s="4" t="s">
        <v>41</v>
      </c>
      <c r="B63" s="4"/>
      <c r="C63" s="4" t="s">
        <v>159</v>
      </c>
      <c r="D63" s="4" t="s">
        <v>304</v>
      </c>
      <c r="E63" s="4" t="s">
        <v>442</v>
      </c>
      <c r="F63" s="17">
        <v>30.6</v>
      </c>
      <c r="G63" s="17"/>
      <c r="H63" s="17">
        <f>F63*AO63</f>
        <v>0</v>
      </c>
      <c r="I63" s="17">
        <f>F63*AP63</f>
        <v>0</v>
      </c>
      <c r="J63" s="17">
        <f>F63*G63</f>
        <v>0</v>
      </c>
      <c r="K63" s="17">
        <v>0</v>
      </c>
      <c r="L63" s="17">
        <f>F63*K63</f>
        <v>0</v>
      </c>
      <c r="M63" s="29"/>
      <c r="Z63" s="34">
        <f>IF(AQ63="5",BJ63,0)</f>
        <v>0</v>
      </c>
      <c r="AB63" s="34">
        <f>IF(AQ63="1",BH63,0)</f>
        <v>0</v>
      </c>
      <c r="AC63" s="34">
        <f>IF(AQ63="1",BI63,0)</f>
        <v>0</v>
      </c>
      <c r="AD63" s="34">
        <f>IF(AQ63="7",BH63,0)</f>
        <v>0</v>
      </c>
      <c r="AE63" s="34">
        <f>IF(AQ63="7",BI63,0)</f>
        <v>0</v>
      </c>
      <c r="AF63" s="34">
        <f>IF(AQ63="2",BH63,0)</f>
        <v>0</v>
      </c>
      <c r="AG63" s="34">
        <f>IF(AQ63="2",BI63,0)</f>
        <v>0</v>
      </c>
      <c r="AH63" s="34">
        <f>IF(AQ63="0",BJ63,0)</f>
        <v>0</v>
      </c>
      <c r="AI63" s="26"/>
      <c r="AJ63" s="17">
        <f>IF(AN63=0,J63,0)</f>
        <v>0</v>
      </c>
      <c r="AK63" s="17">
        <f>IF(AN63=15,J63,0)</f>
        <v>0</v>
      </c>
      <c r="AL63" s="17">
        <f>IF(AN63=21,J63,0)</f>
        <v>0</v>
      </c>
      <c r="AN63" s="34">
        <v>21</v>
      </c>
      <c r="AO63" s="34">
        <f>G63*0</f>
        <v>0</v>
      </c>
      <c r="AP63" s="34">
        <f>G63*(1-0)</f>
        <v>0</v>
      </c>
      <c r="AQ63" s="29" t="s">
        <v>7</v>
      </c>
      <c r="AV63" s="34">
        <f>AW63+AX63</f>
        <v>0</v>
      </c>
      <c r="AW63" s="34">
        <f>F63*AO63</f>
        <v>0</v>
      </c>
      <c r="AX63" s="34">
        <f>F63*AP63</f>
        <v>0</v>
      </c>
      <c r="AY63" s="35" t="s">
        <v>486</v>
      </c>
      <c r="AZ63" s="35" t="s">
        <v>518</v>
      </c>
      <c r="BA63" s="26" t="s">
        <v>531</v>
      </c>
      <c r="BC63" s="34">
        <f>AW63+AX63</f>
        <v>0</v>
      </c>
      <c r="BD63" s="34">
        <f>G63/(100-BE63)*100</f>
        <v>0</v>
      </c>
      <c r="BE63" s="34">
        <v>0</v>
      </c>
      <c r="BF63" s="34">
        <f>L63</f>
        <v>0</v>
      </c>
      <c r="BH63" s="17">
        <f>F63*AO63</f>
        <v>0</v>
      </c>
      <c r="BI63" s="17">
        <f>F63*AP63</f>
        <v>0</v>
      </c>
      <c r="BJ63" s="17">
        <f>F63*G63</f>
        <v>0</v>
      </c>
    </row>
    <row r="64" spans="1:62" ht="12.75">
      <c r="A64" s="4" t="s">
        <v>42</v>
      </c>
      <c r="B64" s="4"/>
      <c r="C64" s="4" t="s">
        <v>160</v>
      </c>
      <c r="D64" s="4" t="s">
        <v>305</v>
      </c>
      <c r="E64" s="4" t="s">
        <v>442</v>
      </c>
      <c r="F64" s="17">
        <v>30.6</v>
      </c>
      <c r="G64" s="17"/>
      <c r="H64" s="17">
        <f>F64*AO64</f>
        <v>0</v>
      </c>
      <c r="I64" s="17">
        <f>F64*AP64</f>
        <v>0</v>
      </c>
      <c r="J64" s="17">
        <f>F64*G64</f>
        <v>0</v>
      </c>
      <c r="K64" s="17">
        <v>0.01</v>
      </c>
      <c r="L64" s="17">
        <f>F64*K64</f>
        <v>0.306</v>
      </c>
      <c r="M64" s="29"/>
      <c r="Z64" s="34">
        <f>IF(AQ64="5",BJ64,0)</f>
        <v>0</v>
      </c>
      <c r="AB64" s="34">
        <f>IF(AQ64="1",BH64,0)</f>
        <v>0</v>
      </c>
      <c r="AC64" s="34">
        <f>IF(AQ64="1",BI64,0)</f>
        <v>0</v>
      </c>
      <c r="AD64" s="34">
        <f>IF(AQ64="7",BH64,0)</f>
        <v>0</v>
      </c>
      <c r="AE64" s="34">
        <f>IF(AQ64="7",BI64,0)</f>
        <v>0</v>
      </c>
      <c r="AF64" s="34">
        <f>IF(AQ64="2",BH64,0)</f>
        <v>0</v>
      </c>
      <c r="AG64" s="34">
        <f>IF(AQ64="2",BI64,0)</f>
        <v>0</v>
      </c>
      <c r="AH64" s="34">
        <f>IF(AQ64="0",BJ64,0)</f>
        <v>0</v>
      </c>
      <c r="AI64" s="26"/>
      <c r="AJ64" s="17">
        <f>IF(AN64=0,J64,0)</f>
        <v>0</v>
      </c>
      <c r="AK64" s="17">
        <f>IF(AN64=15,J64,0)</f>
        <v>0</v>
      </c>
      <c r="AL64" s="17">
        <f>IF(AN64=21,J64,0)</f>
        <v>0</v>
      </c>
      <c r="AN64" s="34">
        <v>21</v>
      </c>
      <c r="AO64" s="34">
        <f>G64*0.72463768115942</f>
        <v>0</v>
      </c>
      <c r="AP64" s="34">
        <f>G64*(1-0.72463768115942)</f>
        <v>0</v>
      </c>
      <c r="AQ64" s="29" t="s">
        <v>7</v>
      </c>
      <c r="AV64" s="34">
        <f>AW64+AX64</f>
        <v>0</v>
      </c>
      <c r="AW64" s="34">
        <f>F64*AO64</f>
        <v>0</v>
      </c>
      <c r="AX64" s="34">
        <f>F64*AP64</f>
        <v>0</v>
      </c>
      <c r="AY64" s="35" t="s">
        <v>486</v>
      </c>
      <c r="AZ64" s="35" t="s">
        <v>518</v>
      </c>
      <c r="BA64" s="26" t="s">
        <v>531</v>
      </c>
      <c r="BC64" s="34">
        <f>AW64+AX64</f>
        <v>0</v>
      </c>
      <c r="BD64" s="34">
        <f>G64/(100-BE64)*100</f>
        <v>0</v>
      </c>
      <c r="BE64" s="34">
        <v>0</v>
      </c>
      <c r="BF64" s="34">
        <f>L64</f>
        <v>0.306</v>
      </c>
      <c r="BH64" s="17">
        <f>F64*AO64</f>
        <v>0</v>
      </c>
      <c r="BI64" s="17">
        <f>F64*AP64</f>
        <v>0</v>
      </c>
      <c r="BJ64" s="17">
        <f>F64*G64</f>
        <v>0</v>
      </c>
    </row>
    <row r="65" spans="1:47" ht="12.75">
      <c r="A65" s="5"/>
      <c r="B65" s="13"/>
      <c r="C65" s="13" t="s">
        <v>37</v>
      </c>
      <c r="D65" s="13" t="s">
        <v>306</v>
      </c>
      <c r="E65" s="5" t="s">
        <v>6</v>
      </c>
      <c r="F65" s="5" t="s">
        <v>6</v>
      </c>
      <c r="G65" s="5" t="s">
        <v>6</v>
      </c>
      <c r="H65" s="37">
        <f>SUM(H66:H71)</f>
        <v>0</v>
      </c>
      <c r="I65" s="37">
        <f>SUM(I66:I71)</f>
        <v>0</v>
      </c>
      <c r="J65" s="37">
        <f>SUM(J66:J71)</f>
        <v>0</v>
      </c>
      <c r="K65" s="26"/>
      <c r="L65" s="37">
        <f>SUM(L66:L71)</f>
        <v>4.45706</v>
      </c>
      <c r="M65" s="26"/>
      <c r="AI65" s="26"/>
      <c r="AS65" s="37">
        <f>SUM(AJ66:AJ71)</f>
        <v>0</v>
      </c>
      <c r="AT65" s="37">
        <f>SUM(AK66:AK71)</f>
        <v>0</v>
      </c>
      <c r="AU65" s="37">
        <f>SUM(AL66:AL71)</f>
        <v>0</v>
      </c>
    </row>
    <row r="66" spans="1:62" ht="12.75">
      <c r="A66" s="4" t="s">
        <v>43</v>
      </c>
      <c r="B66" s="4"/>
      <c r="C66" s="4" t="s">
        <v>161</v>
      </c>
      <c r="D66" s="4" t="s">
        <v>307</v>
      </c>
      <c r="E66" s="4" t="s">
        <v>448</v>
      </c>
      <c r="F66" s="17">
        <v>29</v>
      </c>
      <c r="G66" s="17"/>
      <c r="H66" s="17">
        <f>F66*AO66</f>
        <v>0</v>
      </c>
      <c r="I66" s="17">
        <f>F66*AP66</f>
        <v>0</v>
      </c>
      <c r="J66" s="17">
        <f>F66*G66</f>
        <v>0</v>
      </c>
      <c r="K66" s="17">
        <v>0.09216</v>
      </c>
      <c r="L66" s="17">
        <f>F66*K66</f>
        <v>2.6726400000000003</v>
      </c>
      <c r="M66" s="29"/>
      <c r="Z66" s="34">
        <f>IF(AQ66="5",BJ66,0)</f>
        <v>0</v>
      </c>
      <c r="AB66" s="34">
        <f>IF(AQ66="1",BH66,0)</f>
        <v>0</v>
      </c>
      <c r="AC66" s="34">
        <f>IF(AQ66="1",BI66,0)</f>
        <v>0</v>
      </c>
      <c r="AD66" s="34">
        <f>IF(AQ66="7",BH66,0)</f>
        <v>0</v>
      </c>
      <c r="AE66" s="34">
        <f>IF(AQ66="7",BI66,0)</f>
        <v>0</v>
      </c>
      <c r="AF66" s="34">
        <f>IF(AQ66="2",BH66,0)</f>
        <v>0</v>
      </c>
      <c r="AG66" s="34">
        <f>IF(AQ66="2",BI66,0)</f>
        <v>0</v>
      </c>
      <c r="AH66" s="34">
        <f>IF(AQ66="0",BJ66,0)</f>
        <v>0</v>
      </c>
      <c r="AI66" s="26"/>
      <c r="AJ66" s="17">
        <f>IF(AN66=0,J66,0)</f>
        <v>0</v>
      </c>
      <c r="AK66" s="17">
        <f>IF(AN66=15,J66,0)</f>
        <v>0</v>
      </c>
      <c r="AL66" s="17">
        <f>IF(AN66=21,J66,0)</f>
        <v>0</v>
      </c>
      <c r="AN66" s="34">
        <v>21</v>
      </c>
      <c r="AO66" s="34">
        <f>G66*0.554613274075418</f>
        <v>0</v>
      </c>
      <c r="AP66" s="34">
        <f>G66*(1-0.554613274075418)</f>
        <v>0</v>
      </c>
      <c r="AQ66" s="29" t="s">
        <v>7</v>
      </c>
      <c r="AV66" s="34">
        <f>AW66+AX66</f>
        <v>0</v>
      </c>
      <c r="AW66" s="34">
        <f>F66*AO66</f>
        <v>0</v>
      </c>
      <c r="AX66" s="34">
        <f>F66*AP66</f>
        <v>0</v>
      </c>
      <c r="AY66" s="35" t="s">
        <v>487</v>
      </c>
      <c r="AZ66" s="35" t="s">
        <v>519</v>
      </c>
      <c r="BA66" s="26" t="s">
        <v>531</v>
      </c>
      <c r="BC66" s="34">
        <f>AW66+AX66</f>
        <v>0</v>
      </c>
      <c r="BD66" s="34">
        <f>G66/(100-BE66)*100</f>
        <v>0</v>
      </c>
      <c r="BE66" s="34">
        <v>0</v>
      </c>
      <c r="BF66" s="34">
        <f>L66</f>
        <v>2.6726400000000003</v>
      </c>
      <c r="BH66" s="17">
        <f>F66*AO66</f>
        <v>0</v>
      </c>
      <c r="BI66" s="17">
        <f>F66*AP66</f>
        <v>0</v>
      </c>
      <c r="BJ66" s="17">
        <f>F66*G66</f>
        <v>0</v>
      </c>
    </row>
    <row r="67" ht="12.75">
      <c r="D67" s="15" t="s">
        <v>308</v>
      </c>
    </row>
    <row r="68" spans="1:62" ht="12.75">
      <c r="A68" s="4" t="s">
        <v>44</v>
      </c>
      <c r="B68" s="4"/>
      <c r="C68" s="4" t="s">
        <v>162</v>
      </c>
      <c r="D68" s="4" t="s">
        <v>309</v>
      </c>
      <c r="E68" s="4" t="s">
        <v>448</v>
      </c>
      <c r="F68" s="17">
        <v>7</v>
      </c>
      <c r="G68" s="17"/>
      <c r="H68" s="17">
        <f>F68*AO68</f>
        <v>0</v>
      </c>
      <c r="I68" s="17">
        <f>F68*AP68</f>
        <v>0</v>
      </c>
      <c r="J68" s="17">
        <f>F68*G68</f>
        <v>0</v>
      </c>
      <c r="K68" s="17">
        <v>0.02606</v>
      </c>
      <c r="L68" s="17">
        <f>F68*K68</f>
        <v>0.18242</v>
      </c>
      <c r="M68" s="29"/>
      <c r="Z68" s="34">
        <f>IF(AQ68="5",BJ68,0)</f>
        <v>0</v>
      </c>
      <c r="AB68" s="34">
        <f>IF(AQ68="1",BH68,0)</f>
        <v>0</v>
      </c>
      <c r="AC68" s="34">
        <f>IF(AQ68="1",BI68,0)</f>
        <v>0</v>
      </c>
      <c r="AD68" s="34">
        <f>IF(AQ68="7",BH68,0)</f>
        <v>0</v>
      </c>
      <c r="AE68" s="34">
        <f>IF(AQ68="7",BI68,0)</f>
        <v>0</v>
      </c>
      <c r="AF68" s="34">
        <f>IF(AQ68="2",BH68,0)</f>
        <v>0</v>
      </c>
      <c r="AG68" s="34">
        <f>IF(AQ68="2",BI68,0)</f>
        <v>0</v>
      </c>
      <c r="AH68" s="34">
        <f>IF(AQ68="0",BJ68,0)</f>
        <v>0</v>
      </c>
      <c r="AI68" s="26"/>
      <c r="AJ68" s="17">
        <f>IF(AN68=0,J68,0)</f>
        <v>0</v>
      </c>
      <c r="AK68" s="17">
        <f>IF(AN68=15,J68,0)</f>
        <v>0</v>
      </c>
      <c r="AL68" s="17">
        <f>IF(AN68=21,J68,0)</f>
        <v>0</v>
      </c>
      <c r="AN68" s="34">
        <v>21</v>
      </c>
      <c r="AO68" s="34">
        <f>G68*0.420610687022901</f>
        <v>0</v>
      </c>
      <c r="AP68" s="34">
        <f>G68*(1-0.420610687022901)</f>
        <v>0</v>
      </c>
      <c r="AQ68" s="29" t="s">
        <v>7</v>
      </c>
      <c r="AV68" s="34">
        <f>AW68+AX68</f>
        <v>0</v>
      </c>
      <c r="AW68" s="34">
        <f>F68*AO68</f>
        <v>0</v>
      </c>
      <c r="AX68" s="34">
        <f>F68*AP68</f>
        <v>0</v>
      </c>
      <c r="AY68" s="35" t="s">
        <v>487</v>
      </c>
      <c r="AZ68" s="35" t="s">
        <v>519</v>
      </c>
      <c r="BA68" s="26" t="s">
        <v>531</v>
      </c>
      <c r="BC68" s="34">
        <f>AW68+AX68</f>
        <v>0</v>
      </c>
      <c r="BD68" s="34">
        <f>G68/(100-BE68)*100</f>
        <v>0</v>
      </c>
      <c r="BE68" s="34">
        <v>0</v>
      </c>
      <c r="BF68" s="34">
        <f>L68</f>
        <v>0.18242</v>
      </c>
      <c r="BH68" s="17">
        <f>F68*AO68</f>
        <v>0</v>
      </c>
      <c r="BI68" s="17">
        <f>F68*AP68</f>
        <v>0</v>
      </c>
      <c r="BJ68" s="17">
        <f>F68*G68</f>
        <v>0</v>
      </c>
    </row>
    <row r="69" ht="12.75">
      <c r="D69" s="15" t="s">
        <v>308</v>
      </c>
    </row>
    <row r="70" spans="1:62" ht="12.75">
      <c r="A70" s="4" t="s">
        <v>45</v>
      </c>
      <c r="B70" s="4"/>
      <c r="C70" s="4" t="s">
        <v>163</v>
      </c>
      <c r="D70" s="4" t="s">
        <v>310</v>
      </c>
      <c r="E70" s="4" t="s">
        <v>448</v>
      </c>
      <c r="F70" s="17">
        <v>9</v>
      </c>
      <c r="G70" s="17"/>
      <c r="H70" s="17">
        <f>F70*AO70</f>
        <v>0</v>
      </c>
      <c r="I70" s="17">
        <f>F70*AP70</f>
        <v>0</v>
      </c>
      <c r="J70" s="17">
        <f>F70*G70</f>
        <v>0</v>
      </c>
      <c r="K70" s="17">
        <v>0.00488</v>
      </c>
      <c r="L70" s="17">
        <f>F70*K70</f>
        <v>0.04392</v>
      </c>
      <c r="M70" s="29"/>
      <c r="Z70" s="34">
        <f>IF(AQ70="5",BJ70,0)</f>
        <v>0</v>
      </c>
      <c r="AB70" s="34">
        <f>IF(AQ70="1",BH70,0)</f>
        <v>0</v>
      </c>
      <c r="AC70" s="34">
        <f>IF(AQ70="1",BI70,0)</f>
        <v>0</v>
      </c>
      <c r="AD70" s="34">
        <f>IF(AQ70="7",BH70,0)</f>
        <v>0</v>
      </c>
      <c r="AE70" s="34">
        <f>IF(AQ70="7",BI70,0)</f>
        <v>0</v>
      </c>
      <c r="AF70" s="34">
        <f>IF(AQ70="2",BH70,0)</f>
        <v>0</v>
      </c>
      <c r="AG70" s="34">
        <f>IF(AQ70="2",BI70,0)</f>
        <v>0</v>
      </c>
      <c r="AH70" s="34">
        <f>IF(AQ70="0",BJ70,0)</f>
        <v>0</v>
      </c>
      <c r="AI70" s="26"/>
      <c r="AJ70" s="17">
        <f>IF(AN70=0,J70,0)</f>
        <v>0</v>
      </c>
      <c r="AK70" s="17">
        <f>IF(AN70=15,J70,0)</f>
        <v>0</v>
      </c>
      <c r="AL70" s="17">
        <f>IF(AN70=21,J70,0)</f>
        <v>0</v>
      </c>
      <c r="AN70" s="34">
        <v>21</v>
      </c>
      <c r="AO70" s="34">
        <f>G70*0.0624863685932388</f>
        <v>0</v>
      </c>
      <c r="AP70" s="34">
        <f>G70*(1-0.0624863685932388)</f>
        <v>0</v>
      </c>
      <c r="AQ70" s="29" t="s">
        <v>7</v>
      </c>
      <c r="AV70" s="34">
        <f>AW70+AX70</f>
        <v>0</v>
      </c>
      <c r="AW70" s="34">
        <f>F70*AO70</f>
        <v>0</v>
      </c>
      <c r="AX70" s="34">
        <f>F70*AP70</f>
        <v>0</v>
      </c>
      <c r="AY70" s="35" t="s">
        <v>487</v>
      </c>
      <c r="AZ70" s="35" t="s">
        <v>519</v>
      </c>
      <c r="BA70" s="26" t="s">
        <v>531</v>
      </c>
      <c r="BC70" s="34">
        <f>AW70+AX70</f>
        <v>0</v>
      </c>
      <c r="BD70" s="34">
        <f>G70/(100-BE70)*100</f>
        <v>0</v>
      </c>
      <c r="BE70" s="34">
        <v>0</v>
      </c>
      <c r="BF70" s="34">
        <f>L70</f>
        <v>0.04392</v>
      </c>
      <c r="BH70" s="17">
        <f>F70*AO70</f>
        <v>0</v>
      </c>
      <c r="BI70" s="17">
        <f>F70*AP70</f>
        <v>0</v>
      </c>
      <c r="BJ70" s="17">
        <f>F70*G70</f>
        <v>0</v>
      </c>
    </row>
    <row r="71" spans="1:62" ht="12.75">
      <c r="A71" s="4" t="s">
        <v>46</v>
      </c>
      <c r="B71" s="4"/>
      <c r="C71" s="4" t="s">
        <v>164</v>
      </c>
      <c r="D71" s="4" t="s">
        <v>311</v>
      </c>
      <c r="E71" s="4" t="s">
        <v>442</v>
      </c>
      <c r="F71" s="17">
        <v>9</v>
      </c>
      <c r="G71" s="17"/>
      <c r="H71" s="17">
        <f>F71*AO71</f>
        <v>0</v>
      </c>
      <c r="I71" s="17">
        <f>F71*AP71</f>
        <v>0</v>
      </c>
      <c r="J71" s="17">
        <f>F71*G71</f>
        <v>0</v>
      </c>
      <c r="K71" s="17">
        <v>0.17312</v>
      </c>
      <c r="L71" s="17">
        <f>F71*K71</f>
        <v>1.55808</v>
      </c>
      <c r="M71" s="29"/>
      <c r="Z71" s="34">
        <f>IF(AQ71="5",BJ71,0)</f>
        <v>0</v>
      </c>
      <c r="AB71" s="34">
        <f>IF(AQ71="1",BH71,0)</f>
        <v>0</v>
      </c>
      <c r="AC71" s="34">
        <f>IF(AQ71="1",BI71,0)</f>
        <v>0</v>
      </c>
      <c r="AD71" s="34">
        <f>IF(AQ71="7",BH71,0)</f>
        <v>0</v>
      </c>
      <c r="AE71" s="34">
        <f>IF(AQ71="7",BI71,0)</f>
        <v>0</v>
      </c>
      <c r="AF71" s="34">
        <f>IF(AQ71="2",BH71,0)</f>
        <v>0</v>
      </c>
      <c r="AG71" s="34">
        <f>IF(AQ71="2",BI71,0)</f>
        <v>0</v>
      </c>
      <c r="AH71" s="34">
        <f>IF(AQ71="0",BJ71,0)</f>
        <v>0</v>
      </c>
      <c r="AI71" s="26"/>
      <c r="AJ71" s="17">
        <f>IF(AN71=0,J71,0)</f>
        <v>0</v>
      </c>
      <c r="AK71" s="17">
        <f>IF(AN71=15,J71,0)</f>
        <v>0</v>
      </c>
      <c r="AL71" s="17">
        <f>IF(AN71=21,J71,0)</f>
        <v>0</v>
      </c>
      <c r="AN71" s="34">
        <v>21</v>
      </c>
      <c r="AO71" s="34">
        <f>G71*0.777763061074319</f>
        <v>0</v>
      </c>
      <c r="AP71" s="34">
        <f>G71*(1-0.777763061074319)</f>
        <v>0</v>
      </c>
      <c r="AQ71" s="29" t="s">
        <v>7</v>
      </c>
      <c r="AV71" s="34">
        <f>AW71+AX71</f>
        <v>0</v>
      </c>
      <c r="AW71" s="34">
        <f>F71*AO71</f>
        <v>0</v>
      </c>
      <c r="AX71" s="34">
        <f>F71*AP71</f>
        <v>0</v>
      </c>
      <c r="AY71" s="35" t="s">
        <v>487</v>
      </c>
      <c r="AZ71" s="35" t="s">
        <v>519</v>
      </c>
      <c r="BA71" s="26" t="s">
        <v>531</v>
      </c>
      <c r="BC71" s="34">
        <f>AW71+AX71</f>
        <v>0</v>
      </c>
      <c r="BD71" s="34">
        <f>G71/(100-BE71)*100</f>
        <v>0</v>
      </c>
      <c r="BE71" s="34">
        <v>0</v>
      </c>
      <c r="BF71" s="34">
        <f>L71</f>
        <v>1.55808</v>
      </c>
      <c r="BH71" s="17">
        <f>F71*AO71</f>
        <v>0</v>
      </c>
      <c r="BI71" s="17">
        <f>F71*AP71</f>
        <v>0</v>
      </c>
      <c r="BJ71" s="17">
        <f>F71*G71</f>
        <v>0</v>
      </c>
    </row>
    <row r="72" ht="12.75">
      <c r="D72" s="15" t="s">
        <v>312</v>
      </c>
    </row>
    <row r="73" spans="1:47" ht="12.75">
      <c r="A73" s="5"/>
      <c r="B73" s="13"/>
      <c r="C73" s="13" t="s">
        <v>39</v>
      </c>
      <c r="D73" s="13" t="s">
        <v>313</v>
      </c>
      <c r="E73" s="5" t="s">
        <v>6</v>
      </c>
      <c r="F73" s="5" t="s">
        <v>6</v>
      </c>
      <c r="G73" s="5" t="s">
        <v>6</v>
      </c>
      <c r="H73" s="37">
        <f>SUM(H74:H74)</f>
        <v>0</v>
      </c>
      <c r="I73" s="37">
        <f>SUM(I74:I74)</f>
        <v>0</v>
      </c>
      <c r="J73" s="37">
        <f>SUM(J74:J74)</f>
        <v>0</v>
      </c>
      <c r="K73" s="26"/>
      <c r="L73" s="37">
        <f>SUM(L74:L74)</f>
        <v>0.4</v>
      </c>
      <c r="M73" s="26"/>
      <c r="AI73" s="26"/>
      <c r="AS73" s="37">
        <f>SUM(AJ74:AJ74)</f>
        <v>0</v>
      </c>
      <c r="AT73" s="37">
        <f>SUM(AK74:AK74)</f>
        <v>0</v>
      </c>
      <c r="AU73" s="37">
        <f>SUM(AL74:AL74)</f>
        <v>0</v>
      </c>
    </row>
    <row r="74" spans="1:62" ht="12.75">
      <c r="A74" s="4" t="s">
        <v>47</v>
      </c>
      <c r="B74" s="4"/>
      <c r="C74" s="4" t="s">
        <v>165</v>
      </c>
      <c r="D74" s="4" t="s">
        <v>314</v>
      </c>
      <c r="E74" s="4" t="s">
        <v>448</v>
      </c>
      <c r="F74" s="17">
        <v>4</v>
      </c>
      <c r="G74" s="17"/>
      <c r="H74" s="17">
        <f>F74*AO74</f>
        <v>0</v>
      </c>
      <c r="I74" s="17">
        <f>F74*AP74</f>
        <v>0</v>
      </c>
      <c r="J74" s="17">
        <f>F74*G74</f>
        <v>0</v>
      </c>
      <c r="K74" s="17">
        <v>0.1</v>
      </c>
      <c r="L74" s="17">
        <f>F74*K74</f>
        <v>0.4</v>
      </c>
      <c r="M74" s="29"/>
      <c r="Z74" s="34">
        <f>IF(AQ74="5",BJ74,0)</f>
        <v>0</v>
      </c>
      <c r="AB74" s="34">
        <f>IF(AQ74="1",BH74,0)</f>
        <v>0</v>
      </c>
      <c r="AC74" s="34">
        <f>IF(AQ74="1",BI74,0)</f>
        <v>0</v>
      </c>
      <c r="AD74" s="34">
        <f>IF(AQ74="7",BH74,0)</f>
        <v>0</v>
      </c>
      <c r="AE74" s="34">
        <f>IF(AQ74="7",BI74,0)</f>
        <v>0</v>
      </c>
      <c r="AF74" s="34">
        <f>IF(AQ74="2",BH74,0)</f>
        <v>0</v>
      </c>
      <c r="AG74" s="34">
        <f>IF(AQ74="2",BI74,0)</f>
        <v>0</v>
      </c>
      <c r="AH74" s="34">
        <f>IF(AQ74="0",BJ74,0)</f>
        <v>0</v>
      </c>
      <c r="AI74" s="26"/>
      <c r="AJ74" s="17">
        <f>IF(AN74=0,J74,0)</f>
        <v>0</v>
      </c>
      <c r="AK74" s="17">
        <f>IF(AN74=15,J74,0)</f>
        <v>0</v>
      </c>
      <c r="AL74" s="17">
        <f>IF(AN74=21,J74,0)</f>
        <v>0</v>
      </c>
      <c r="AN74" s="34">
        <v>21</v>
      </c>
      <c r="AO74" s="34">
        <f>G74*0.344490566037736</f>
        <v>0</v>
      </c>
      <c r="AP74" s="34">
        <f>G74*(1-0.344490566037736)</f>
        <v>0</v>
      </c>
      <c r="AQ74" s="29" t="s">
        <v>7</v>
      </c>
      <c r="AV74" s="34">
        <f>AW74+AX74</f>
        <v>0</v>
      </c>
      <c r="AW74" s="34">
        <f>F74*AO74</f>
        <v>0</v>
      </c>
      <c r="AX74" s="34">
        <f>F74*AP74</f>
        <v>0</v>
      </c>
      <c r="AY74" s="35" t="s">
        <v>488</v>
      </c>
      <c r="AZ74" s="35" t="s">
        <v>519</v>
      </c>
      <c r="BA74" s="26" t="s">
        <v>531</v>
      </c>
      <c r="BC74" s="34">
        <f>AW74+AX74</f>
        <v>0</v>
      </c>
      <c r="BD74" s="34">
        <f>G74/(100-BE74)*100</f>
        <v>0</v>
      </c>
      <c r="BE74" s="34">
        <v>0</v>
      </c>
      <c r="BF74" s="34">
        <f>L74</f>
        <v>0.4</v>
      </c>
      <c r="BH74" s="17">
        <f>F74*AO74</f>
        <v>0</v>
      </c>
      <c r="BI74" s="17">
        <f>F74*AP74</f>
        <v>0</v>
      </c>
      <c r="BJ74" s="17">
        <f>F74*G74</f>
        <v>0</v>
      </c>
    </row>
    <row r="75" spans="1:47" ht="12.75">
      <c r="A75" s="5"/>
      <c r="B75" s="13"/>
      <c r="C75" s="13" t="s">
        <v>40</v>
      </c>
      <c r="D75" s="13" t="s">
        <v>315</v>
      </c>
      <c r="E75" s="5" t="s">
        <v>6</v>
      </c>
      <c r="F75" s="5" t="s">
        <v>6</v>
      </c>
      <c r="G75" s="5" t="s">
        <v>6</v>
      </c>
      <c r="H75" s="37">
        <f>SUM(H76:H76)</f>
        <v>0</v>
      </c>
      <c r="I75" s="37">
        <f>SUM(I76:I76)</f>
        <v>0</v>
      </c>
      <c r="J75" s="37">
        <f>SUM(J76:J76)</f>
        <v>0</v>
      </c>
      <c r="K75" s="26"/>
      <c r="L75" s="37">
        <f>SUM(L76:L76)</f>
        <v>0.024480000000000002</v>
      </c>
      <c r="M75" s="26"/>
      <c r="AI75" s="26"/>
      <c r="AS75" s="37">
        <f>SUM(AJ76:AJ76)</f>
        <v>0</v>
      </c>
      <c r="AT75" s="37">
        <f>SUM(AK76:AK76)</f>
        <v>0</v>
      </c>
      <c r="AU75" s="37">
        <f>SUM(AL76:AL76)</f>
        <v>0</v>
      </c>
    </row>
    <row r="76" spans="1:62" ht="12.75">
      <c r="A76" s="4" t="s">
        <v>48</v>
      </c>
      <c r="B76" s="4"/>
      <c r="C76" s="4" t="s">
        <v>166</v>
      </c>
      <c r="D76" s="4" t="s">
        <v>316</v>
      </c>
      <c r="E76" s="4" t="s">
        <v>443</v>
      </c>
      <c r="F76" s="17">
        <v>24</v>
      </c>
      <c r="G76" s="17"/>
      <c r="H76" s="17">
        <f>F76*AO76</f>
        <v>0</v>
      </c>
      <c r="I76" s="17">
        <f>F76*AP76</f>
        <v>0</v>
      </c>
      <c r="J76" s="17">
        <f>F76*G76</f>
        <v>0</v>
      </c>
      <c r="K76" s="17">
        <v>0.00102</v>
      </c>
      <c r="L76" s="17">
        <f>F76*K76</f>
        <v>0.024480000000000002</v>
      </c>
      <c r="M76" s="29"/>
      <c r="Z76" s="34">
        <f>IF(AQ76="5",BJ76,0)</f>
        <v>0</v>
      </c>
      <c r="AB76" s="34">
        <f>IF(AQ76="1",BH76,0)</f>
        <v>0</v>
      </c>
      <c r="AC76" s="34">
        <f>IF(AQ76="1",BI76,0)</f>
        <v>0</v>
      </c>
      <c r="AD76" s="34">
        <f>IF(AQ76="7",BH76,0)</f>
        <v>0</v>
      </c>
      <c r="AE76" s="34">
        <f>IF(AQ76="7",BI76,0)</f>
        <v>0</v>
      </c>
      <c r="AF76" s="34">
        <f>IF(AQ76="2",BH76,0)</f>
        <v>0</v>
      </c>
      <c r="AG76" s="34">
        <f>IF(AQ76="2",BI76,0)</f>
        <v>0</v>
      </c>
      <c r="AH76" s="34">
        <f>IF(AQ76="0",BJ76,0)</f>
        <v>0</v>
      </c>
      <c r="AI76" s="26"/>
      <c r="AJ76" s="17">
        <f>IF(AN76=0,J76,0)</f>
        <v>0</v>
      </c>
      <c r="AK76" s="17">
        <f>IF(AN76=15,J76,0)</f>
        <v>0</v>
      </c>
      <c r="AL76" s="17">
        <f>IF(AN76=21,J76,0)</f>
        <v>0</v>
      </c>
      <c r="AN76" s="34">
        <v>21</v>
      </c>
      <c r="AO76" s="34">
        <f>G76*0.18260942338271</f>
        <v>0</v>
      </c>
      <c r="AP76" s="34">
        <f>G76*(1-0.18260942338271)</f>
        <v>0</v>
      </c>
      <c r="AQ76" s="29" t="s">
        <v>7</v>
      </c>
      <c r="AV76" s="34">
        <f>AW76+AX76</f>
        <v>0</v>
      </c>
      <c r="AW76" s="34">
        <f>F76*AO76</f>
        <v>0</v>
      </c>
      <c r="AX76" s="34">
        <f>F76*AP76</f>
        <v>0</v>
      </c>
      <c r="AY76" s="35" t="s">
        <v>489</v>
      </c>
      <c r="AZ76" s="35" t="s">
        <v>519</v>
      </c>
      <c r="BA76" s="26" t="s">
        <v>531</v>
      </c>
      <c r="BC76" s="34">
        <f>AW76+AX76</f>
        <v>0</v>
      </c>
      <c r="BD76" s="34">
        <f>G76/(100-BE76)*100</f>
        <v>0</v>
      </c>
      <c r="BE76" s="34">
        <v>0</v>
      </c>
      <c r="BF76" s="34">
        <f>L76</f>
        <v>0.024480000000000002</v>
      </c>
      <c r="BH76" s="17">
        <f>F76*AO76</f>
        <v>0</v>
      </c>
      <c r="BI76" s="17">
        <f>F76*AP76</f>
        <v>0</v>
      </c>
      <c r="BJ76" s="17">
        <f>F76*G76</f>
        <v>0</v>
      </c>
    </row>
    <row r="77" spans="1:47" ht="12.75">
      <c r="A77" s="5"/>
      <c r="B77" s="13"/>
      <c r="C77" s="13" t="s">
        <v>51</v>
      </c>
      <c r="D77" s="13" t="s">
        <v>317</v>
      </c>
      <c r="E77" s="5" t="s">
        <v>6</v>
      </c>
      <c r="F77" s="5" t="s">
        <v>6</v>
      </c>
      <c r="G77" s="5" t="s">
        <v>6</v>
      </c>
      <c r="H77" s="37">
        <f>SUM(H78:H78)</f>
        <v>0</v>
      </c>
      <c r="I77" s="37">
        <f>SUM(I78:I78)</f>
        <v>0</v>
      </c>
      <c r="J77" s="37">
        <f>SUM(J78:J78)</f>
        <v>0</v>
      </c>
      <c r="K77" s="26"/>
      <c r="L77" s="37">
        <f>SUM(L78:L78)</f>
        <v>0.3030504</v>
      </c>
      <c r="M77" s="26"/>
      <c r="AI77" s="26"/>
      <c r="AS77" s="37">
        <f>SUM(AJ78:AJ78)</f>
        <v>0</v>
      </c>
      <c r="AT77" s="37">
        <f>SUM(AK78:AK78)</f>
        <v>0</v>
      </c>
      <c r="AU77" s="37">
        <f>SUM(AL78:AL78)</f>
        <v>0</v>
      </c>
    </row>
    <row r="78" spans="1:62" ht="12.75">
      <c r="A78" s="4" t="s">
        <v>49</v>
      </c>
      <c r="B78" s="4"/>
      <c r="C78" s="4" t="s">
        <v>167</v>
      </c>
      <c r="D78" s="4" t="s">
        <v>318</v>
      </c>
      <c r="E78" s="4" t="s">
        <v>446</v>
      </c>
      <c r="F78" s="17">
        <v>0.12</v>
      </c>
      <c r="G78" s="17"/>
      <c r="H78" s="17">
        <f>F78*AO78</f>
        <v>0</v>
      </c>
      <c r="I78" s="17">
        <f>F78*AP78</f>
        <v>0</v>
      </c>
      <c r="J78" s="17">
        <f>F78*G78</f>
        <v>0</v>
      </c>
      <c r="K78" s="17">
        <v>2.52542</v>
      </c>
      <c r="L78" s="17">
        <f>F78*K78</f>
        <v>0.3030504</v>
      </c>
      <c r="M78" s="29"/>
      <c r="Z78" s="34">
        <f>IF(AQ78="5",BJ78,0)</f>
        <v>0</v>
      </c>
      <c r="AB78" s="34">
        <f>IF(AQ78="1",BH78,0)</f>
        <v>0</v>
      </c>
      <c r="AC78" s="34">
        <f>IF(AQ78="1",BI78,0)</f>
        <v>0</v>
      </c>
      <c r="AD78" s="34">
        <f>IF(AQ78="7",BH78,0)</f>
        <v>0</v>
      </c>
      <c r="AE78" s="34">
        <f>IF(AQ78="7",BI78,0)</f>
        <v>0</v>
      </c>
      <c r="AF78" s="34">
        <f>IF(AQ78="2",BH78,0)</f>
        <v>0</v>
      </c>
      <c r="AG78" s="34">
        <f>IF(AQ78="2",BI78,0)</f>
        <v>0</v>
      </c>
      <c r="AH78" s="34">
        <f>IF(AQ78="0",BJ78,0)</f>
        <v>0</v>
      </c>
      <c r="AI78" s="26"/>
      <c r="AJ78" s="17">
        <f>IF(AN78=0,J78,0)</f>
        <v>0</v>
      </c>
      <c r="AK78" s="17">
        <f>IF(AN78=15,J78,0)</f>
        <v>0</v>
      </c>
      <c r="AL78" s="17">
        <f>IF(AN78=21,J78,0)</f>
        <v>0</v>
      </c>
      <c r="AN78" s="34">
        <v>21</v>
      </c>
      <c r="AO78" s="34">
        <f>G78*0.636217032967033</f>
        <v>0</v>
      </c>
      <c r="AP78" s="34">
        <f>G78*(1-0.636217032967033)</f>
        <v>0</v>
      </c>
      <c r="AQ78" s="29" t="s">
        <v>7</v>
      </c>
      <c r="AV78" s="34">
        <f>AW78+AX78</f>
        <v>0</v>
      </c>
      <c r="AW78" s="34">
        <f>F78*AO78</f>
        <v>0</v>
      </c>
      <c r="AX78" s="34">
        <f>F78*AP78</f>
        <v>0</v>
      </c>
      <c r="AY78" s="35" t="s">
        <v>490</v>
      </c>
      <c r="AZ78" s="35" t="s">
        <v>520</v>
      </c>
      <c r="BA78" s="26" t="s">
        <v>531</v>
      </c>
      <c r="BC78" s="34">
        <f>AW78+AX78</f>
        <v>0</v>
      </c>
      <c r="BD78" s="34">
        <f>G78/(100-BE78)*100</f>
        <v>0</v>
      </c>
      <c r="BE78" s="34">
        <v>0</v>
      </c>
      <c r="BF78" s="34">
        <f>L78</f>
        <v>0.3030504</v>
      </c>
      <c r="BH78" s="17">
        <f>F78*AO78</f>
        <v>0</v>
      </c>
      <c r="BI78" s="17">
        <f>F78*AP78</f>
        <v>0</v>
      </c>
      <c r="BJ78" s="17">
        <f>F78*G78</f>
        <v>0</v>
      </c>
    </row>
    <row r="79" spans="1:47" ht="12.75">
      <c r="A79" s="5"/>
      <c r="B79" s="13"/>
      <c r="C79" s="13" t="s">
        <v>62</v>
      </c>
      <c r="D79" s="13" t="s">
        <v>319</v>
      </c>
      <c r="E79" s="5" t="s">
        <v>6</v>
      </c>
      <c r="F79" s="5" t="s">
        <v>6</v>
      </c>
      <c r="G79" s="5" t="s">
        <v>6</v>
      </c>
      <c r="H79" s="37">
        <f>SUM(H80:H81)</f>
        <v>0</v>
      </c>
      <c r="I79" s="37">
        <f>SUM(I80:I81)</f>
        <v>0</v>
      </c>
      <c r="J79" s="37">
        <f>SUM(J80:J81)</f>
        <v>0</v>
      </c>
      <c r="K79" s="26"/>
      <c r="L79" s="37">
        <f>SUM(L80:L81)</f>
        <v>48.2650568</v>
      </c>
      <c r="M79" s="26"/>
      <c r="AI79" s="26"/>
      <c r="AS79" s="37">
        <f>SUM(AJ80:AJ81)</f>
        <v>0</v>
      </c>
      <c r="AT79" s="37">
        <f>SUM(AK80:AK81)</f>
        <v>0</v>
      </c>
      <c r="AU79" s="37">
        <f>SUM(AL80:AL81)</f>
        <v>0</v>
      </c>
    </row>
    <row r="80" spans="1:62" ht="12.75">
      <c r="A80" s="4" t="s">
        <v>50</v>
      </c>
      <c r="B80" s="4"/>
      <c r="C80" s="4" t="s">
        <v>168</v>
      </c>
      <c r="D80" s="4" t="s">
        <v>320</v>
      </c>
      <c r="E80" s="4" t="s">
        <v>447</v>
      </c>
      <c r="F80" s="17">
        <v>26.8</v>
      </c>
      <c r="G80" s="17"/>
      <c r="H80" s="17">
        <f>F80*AO80</f>
        <v>0</v>
      </c>
      <c r="I80" s="17">
        <f>F80*AP80</f>
        <v>0</v>
      </c>
      <c r="J80" s="17">
        <f>F80*G80</f>
        <v>0</v>
      </c>
      <c r="K80" s="17">
        <v>1.1</v>
      </c>
      <c r="L80" s="17">
        <f>F80*K80</f>
        <v>29.480000000000004</v>
      </c>
      <c r="M80" s="29"/>
      <c r="Z80" s="34">
        <f>IF(AQ80="5",BJ80,0)</f>
        <v>0</v>
      </c>
      <c r="AB80" s="34">
        <f>IF(AQ80="1",BH80,0)</f>
        <v>0</v>
      </c>
      <c r="AC80" s="34">
        <f>IF(AQ80="1",BI80,0)</f>
        <v>0</v>
      </c>
      <c r="AD80" s="34">
        <f>IF(AQ80="7",BH80,0)</f>
        <v>0</v>
      </c>
      <c r="AE80" s="34">
        <f>IF(AQ80="7",BI80,0)</f>
        <v>0</v>
      </c>
      <c r="AF80" s="34">
        <f>IF(AQ80="2",BH80,0)</f>
        <v>0</v>
      </c>
      <c r="AG80" s="34">
        <f>IF(AQ80="2",BI80,0)</f>
        <v>0</v>
      </c>
      <c r="AH80" s="34">
        <f>IF(AQ80="0",BJ80,0)</f>
        <v>0</v>
      </c>
      <c r="AI80" s="26"/>
      <c r="AJ80" s="17">
        <f>IF(AN80=0,J80,0)</f>
        <v>0</v>
      </c>
      <c r="AK80" s="17">
        <f>IF(AN80=15,J80,0)</f>
        <v>0</v>
      </c>
      <c r="AL80" s="17">
        <f>IF(AN80=21,J80,0)</f>
        <v>0</v>
      </c>
      <c r="AN80" s="34">
        <v>21</v>
      </c>
      <c r="AO80" s="34">
        <f>G80*0.875173745173745</f>
        <v>0</v>
      </c>
      <c r="AP80" s="34">
        <f>G80*(1-0.875173745173745)</f>
        <v>0</v>
      </c>
      <c r="AQ80" s="29" t="s">
        <v>7</v>
      </c>
      <c r="AV80" s="34">
        <f>AW80+AX80</f>
        <v>0</v>
      </c>
      <c r="AW80" s="34">
        <f>F80*AO80</f>
        <v>0</v>
      </c>
      <c r="AX80" s="34">
        <f>F80*AP80</f>
        <v>0</v>
      </c>
      <c r="AY80" s="35" t="s">
        <v>491</v>
      </c>
      <c r="AZ80" s="35" t="s">
        <v>521</v>
      </c>
      <c r="BA80" s="26" t="s">
        <v>531</v>
      </c>
      <c r="BC80" s="34">
        <f>AW80+AX80</f>
        <v>0</v>
      </c>
      <c r="BD80" s="34">
        <f>G80/(100-BE80)*100</f>
        <v>0</v>
      </c>
      <c r="BE80" s="34">
        <v>0</v>
      </c>
      <c r="BF80" s="34">
        <f>L80</f>
        <v>29.480000000000004</v>
      </c>
      <c r="BH80" s="17">
        <f>F80*AO80</f>
        <v>0</v>
      </c>
      <c r="BI80" s="17">
        <f>F80*AP80</f>
        <v>0</v>
      </c>
      <c r="BJ80" s="17">
        <f>F80*G80</f>
        <v>0</v>
      </c>
    </row>
    <row r="81" spans="1:62" ht="12.75">
      <c r="A81" s="4" t="s">
        <v>51</v>
      </c>
      <c r="B81" s="4"/>
      <c r="C81" s="4" t="s">
        <v>169</v>
      </c>
      <c r="D81" s="4" t="s">
        <v>321</v>
      </c>
      <c r="E81" s="4" t="s">
        <v>442</v>
      </c>
      <c r="F81" s="17">
        <v>26.22</v>
      </c>
      <c r="G81" s="17"/>
      <c r="H81" s="17">
        <f>F81*AO81</f>
        <v>0</v>
      </c>
      <c r="I81" s="17">
        <f>F81*AP81</f>
        <v>0</v>
      </c>
      <c r="J81" s="17">
        <f>F81*G81</f>
        <v>0</v>
      </c>
      <c r="K81" s="17">
        <v>0.71644</v>
      </c>
      <c r="L81" s="17">
        <f>F81*K81</f>
        <v>18.7850568</v>
      </c>
      <c r="M81" s="29"/>
      <c r="Z81" s="34">
        <f>IF(AQ81="5",BJ81,0)</f>
        <v>0</v>
      </c>
      <c r="AB81" s="34">
        <f>IF(AQ81="1",BH81,0)</f>
        <v>0</v>
      </c>
      <c r="AC81" s="34">
        <f>IF(AQ81="1",BI81,0)</f>
        <v>0</v>
      </c>
      <c r="AD81" s="34">
        <f>IF(AQ81="7",BH81,0)</f>
        <v>0</v>
      </c>
      <c r="AE81" s="34">
        <f>IF(AQ81="7",BI81,0)</f>
        <v>0</v>
      </c>
      <c r="AF81" s="34">
        <f>IF(AQ81="2",BH81,0)</f>
        <v>0</v>
      </c>
      <c r="AG81" s="34">
        <f>IF(AQ81="2",BI81,0)</f>
        <v>0</v>
      </c>
      <c r="AH81" s="34">
        <f>IF(AQ81="0",BJ81,0)</f>
        <v>0</v>
      </c>
      <c r="AI81" s="26"/>
      <c r="AJ81" s="17">
        <f>IF(AN81=0,J81,0)</f>
        <v>0</v>
      </c>
      <c r="AK81" s="17">
        <f>IF(AN81=15,J81,0)</f>
        <v>0</v>
      </c>
      <c r="AL81" s="17">
        <f>IF(AN81=21,J81,0)</f>
        <v>0</v>
      </c>
      <c r="AN81" s="34">
        <v>21</v>
      </c>
      <c r="AO81" s="34">
        <f>G81*0.812870616567644</f>
        <v>0</v>
      </c>
      <c r="AP81" s="34">
        <f>G81*(1-0.812870616567644)</f>
        <v>0</v>
      </c>
      <c r="AQ81" s="29" t="s">
        <v>7</v>
      </c>
      <c r="AV81" s="34">
        <f>AW81+AX81</f>
        <v>0</v>
      </c>
      <c r="AW81" s="34">
        <f>F81*AO81</f>
        <v>0</v>
      </c>
      <c r="AX81" s="34">
        <f>F81*AP81</f>
        <v>0</v>
      </c>
      <c r="AY81" s="35" t="s">
        <v>491</v>
      </c>
      <c r="AZ81" s="35" t="s">
        <v>521</v>
      </c>
      <c r="BA81" s="26" t="s">
        <v>531</v>
      </c>
      <c r="BC81" s="34">
        <f>AW81+AX81</f>
        <v>0</v>
      </c>
      <c r="BD81" s="34">
        <f>G81/(100-BE81)*100</f>
        <v>0</v>
      </c>
      <c r="BE81" s="34">
        <v>0</v>
      </c>
      <c r="BF81" s="34">
        <f>L81</f>
        <v>18.7850568</v>
      </c>
      <c r="BH81" s="17">
        <f>F81*AO81</f>
        <v>0</v>
      </c>
      <c r="BI81" s="17">
        <f>F81*AP81</f>
        <v>0</v>
      </c>
      <c r="BJ81" s="17">
        <f>F81*G81</f>
        <v>0</v>
      </c>
    </row>
    <row r="82" spans="1:47" ht="12.75">
      <c r="A82" s="5"/>
      <c r="B82" s="13"/>
      <c r="C82" s="13" t="s">
        <v>64</v>
      </c>
      <c r="D82" s="13" t="s">
        <v>322</v>
      </c>
      <c r="E82" s="5" t="s">
        <v>6</v>
      </c>
      <c r="F82" s="5" t="s">
        <v>6</v>
      </c>
      <c r="G82" s="5" t="s">
        <v>6</v>
      </c>
      <c r="H82" s="37">
        <f>SUM(H83:H83)</f>
        <v>0</v>
      </c>
      <c r="I82" s="37">
        <f>SUM(I83:I83)</f>
        <v>0</v>
      </c>
      <c r="J82" s="37">
        <f>SUM(J83:J83)</f>
        <v>0</v>
      </c>
      <c r="K82" s="26"/>
      <c r="L82" s="37">
        <f>SUM(L83:L83)</f>
        <v>3.1563</v>
      </c>
      <c r="M82" s="26"/>
      <c r="AI82" s="26"/>
      <c r="AS82" s="37">
        <f>SUM(AJ83:AJ83)</f>
        <v>0</v>
      </c>
      <c r="AT82" s="37">
        <f>SUM(AK83:AK83)</f>
        <v>0</v>
      </c>
      <c r="AU82" s="37">
        <f>SUM(AL83:AL83)</f>
        <v>0</v>
      </c>
    </row>
    <row r="83" spans="1:62" ht="12.75">
      <c r="A83" s="4" t="s">
        <v>52</v>
      </c>
      <c r="B83" s="4"/>
      <c r="C83" s="4" t="s">
        <v>170</v>
      </c>
      <c r="D83" s="4" t="s">
        <v>323</v>
      </c>
      <c r="E83" s="4" t="s">
        <v>442</v>
      </c>
      <c r="F83" s="17">
        <v>37.8</v>
      </c>
      <c r="G83" s="17"/>
      <c r="H83" s="17">
        <f>F83*AO83</f>
        <v>0</v>
      </c>
      <c r="I83" s="17">
        <f>F83*AP83</f>
        <v>0</v>
      </c>
      <c r="J83" s="17">
        <f>F83*G83</f>
        <v>0</v>
      </c>
      <c r="K83" s="17">
        <v>0.0835</v>
      </c>
      <c r="L83" s="17">
        <f>F83*K83</f>
        <v>3.1563</v>
      </c>
      <c r="M83" s="29"/>
      <c r="Z83" s="34">
        <f>IF(AQ83="5",BJ83,0)</f>
        <v>0</v>
      </c>
      <c r="AB83" s="34">
        <f>IF(AQ83="1",BH83,0)</f>
        <v>0</v>
      </c>
      <c r="AC83" s="34">
        <f>IF(AQ83="1",BI83,0)</f>
        <v>0</v>
      </c>
      <c r="AD83" s="34">
        <f>IF(AQ83="7",BH83,0)</f>
        <v>0</v>
      </c>
      <c r="AE83" s="34">
        <f>IF(AQ83="7",BI83,0)</f>
        <v>0</v>
      </c>
      <c r="AF83" s="34">
        <f>IF(AQ83="2",BH83,0)</f>
        <v>0</v>
      </c>
      <c r="AG83" s="34">
        <f>IF(AQ83="2",BI83,0)</f>
        <v>0</v>
      </c>
      <c r="AH83" s="34">
        <f>IF(AQ83="0",BJ83,0)</f>
        <v>0</v>
      </c>
      <c r="AI83" s="26"/>
      <c r="AJ83" s="17">
        <f>IF(AN83=0,J83,0)</f>
        <v>0</v>
      </c>
      <c r="AK83" s="17">
        <f>IF(AN83=15,J83,0)</f>
        <v>0</v>
      </c>
      <c r="AL83" s="17">
        <f>IF(AN83=21,J83,0)</f>
        <v>0</v>
      </c>
      <c r="AN83" s="34">
        <v>21</v>
      </c>
      <c r="AO83" s="34">
        <f>G83*0.2775</f>
        <v>0</v>
      </c>
      <c r="AP83" s="34">
        <f>G83*(1-0.2775)</f>
        <v>0</v>
      </c>
      <c r="AQ83" s="29" t="s">
        <v>7</v>
      </c>
      <c r="AV83" s="34">
        <f>AW83+AX83</f>
        <v>0</v>
      </c>
      <c r="AW83" s="34">
        <f>F83*AO83</f>
        <v>0</v>
      </c>
      <c r="AX83" s="34">
        <f>F83*AP83</f>
        <v>0</v>
      </c>
      <c r="AY83" s="35" t="s">
        <v>492</v>
      </c>
      <c r="AZ83" s="35" t="s">
        <v>521</v>
      </c>
      <c r="BA83" s="26" t="s">
        <v>531</v>
      </c>
      <c r="BC83" s="34">
        <f>AW83+AX83</f>
        <v>0</v>
      </c>
      <c r="BD83" s="34">
        <f>G83/(100-BE83)*100</f>
        <v>0</v>
      </c>
      <c r="BE83" s="34">
        <v>0</v>
      </c>
      <c r="BF83" s="34">
        <f>L83</f>
        <v>3.1563</v>
      </c>
      <c r="BH83" s="17">
        <f>F83*AO83</f>
        <v>0</v>
      </c>
      <c r="BI83" s="17">
        <f>F83*AP83</f>
        <v>0</v>
      </c>
      <c r="BJ83" s="17">
        <f>F83*G83</f>
        <v>0</v>
      </c>
    </row>
    <row r="84" spans="1:47" ht="12.75">
      <c r="A84" s="5"/>
      <c r="B84" s="13"/>
      <c r="C84" s="13" t="s">
        <v>65</v>
      </c>
      <c r="D84" s="13" t="s">
        <v>324</v>
      </c>
      <c r="E84" s="5" t="s">
        <v>6</v>
      </c>
      <c r="F84" s="5" t="s">
        <v>6</v>
      </c>
      <c r="G84" s="5" t="s">
        <v>6</v>
      </c>
      <c r="H84" s="37">
        <f>SUM(H85:H85)</f>
        <v>0</v>
      </c>
      <c r="I84" s="37">
        <f>SUM(I85:I85)</f>
        <v>0</v>
      </c>
      <c r="J84" s="37">
        <f>SUM(J85:J85)</f>
        <v>0</v>
      </c>
      <c r="K84" s="26"/>
      <c r="L84" s="37">
        <f>SUM(L85:L85)</f>
        <v>0.12525</v>
      </c>
      <c r="M84" s="26"/>
      <c r="AI84" s="26"/>
      <c r="AS84" s="37">
        <f>SUM(AJ85:AJ85)</f>
        <v>0</v>
      </c>
      <c r="AT84" s="37">
        <f>SUM(AK85:AK85)</f>
        <v>0</v>
      </c>
      <c r="AU84" s="37">
        <f>SUM(AL85:AL85)</f>
        <v>0</v>
      </c>
    </row>
    <row r="85" spans="1:62" ht="12.75">
      <c r="A85" s="4" t="s">
        <v>53</v>
      </c>
      <c r="B85" s="4"/>
      <c r="C85" s="4" t="s">
        <v>171</v>
      </c>
      <c r="D85" s="4" t="s">
        <v>325</v>
      </c>
      <c r="E85" s="4" t="s">
        <v>443</v>
      </c>
      <c r="F85" s="17">
        <v>25</v>
      </c>
      <c r="G85" s="17"/>
      <c r="H85" s="17">
        <f>F85*AO85</f>
        <v>0</v>
      </c>
      <c r="I85" s="17">
        <f>F85*AP85</f>
        <v>0</v>
      </c>
      <c r="J85" s="17">
        <f>F85*G85</f>
        <v>0</v>
      </c>
      <c r="K85" s="17">
        <v>0.00501</v>
      </c>
      <c r="L85" s="17">
        <f>F85*K85</f>
        <v>0.12525</v>
      </c>
      <c r="M85" s="29"/>
      <c r="Z85" s="34">
        <f>IF(AQ85="5",BJ85,0)</f>
        <v>0</v>
      </c>
      <c r="AB85" s="34">
        <f>IF(AQ85="1",BH85,0)</f>
        <v>0</v>
      </c>
      <c r="AC85" s="34">
        <f>IF(AQ85="1",BI85,0)</f>
        <v>0</v>
      </c>
      <c r="AD85" s="34">
        <f>IF(AQ85="7",BH85,0)</f>
        <v>0</v>
      </c>
      <c r="AE85" s="34">
        <f>IF(AQ85="7",BI85,0)</f>
        <v>0</v>
      </c>
      <c r="AF85" s="34">
        <f>IF(AQ85="2",BH85,0)</f>
        <v>0</v>
      </c>
      <c r="AG85" s="34">
        <f>IF(AQ85="2",BI85,0)</f>
        <v>0</v>
      </c>
      <c r="AH85" s="34">
        <f>IF(AQ85="0",BJ85,0)</f>
        <v>0</v>
      </c>
      <c r="AI85" s="26"/>
      <c r="AJ85" s="17">
        <f>IF(AN85=0,J85,0)</f>
        <v>0</v>
      </c>
      <c r="AK85" s="17">
        <f>IF(AN85=15,J85,0)</f>
        <v>0</v>
      </c>
      <c r="AL85" s="17">
        <f>IF(AN85=21,J85,0)</f>
        <v>0</v>
      </c>
      <c r="AN85" s="34">
        <v>21</v>
      </c>
      <c r="AO85" s="34">
        <f>G85*0.546623794212219</f>
        <v>0</v>
      </c>
      <c r="AP85" s="34">
        <f>G85*(1-0.546623794212219)</f>
        <v>0</v>
      </c>
      <c r="AQ85" s="29" t="s">
        <v>7</v>
      </c>
      <c r="AV85" s="34">
        <f>AW85+AX85</f>
        <v>0</v>
      </c>
      <c r="AW85" s="34">
        <f>F85*AO85</f>
        <v>0</v>
      </c>
      <c r="AX85" s="34">
        <f>F85*AP85</f>
        <v>0</v>
      </c>
      <c r="AY85" s="35" t="s">
        <v>493</v>
      </c>
      <c r="AZ85" s="35" t="s">
        <v>521</v>
      </c>
      <c r="BA85" s="26" t="s">
        <v>531</v>
      </c>
      <c r="BC85" s="34">
        <f>AW85+AX85</f>
        <v>0</v>
      </c>
      <c r="BD85" s="34">
        <f>G85/(100-BE85)*100</f>
        <v>0</v>
      </c>
      <c r="BE85" s="34">
        <v>0</v>
      </c>
      <c r="BF85" s="34">
        <f>L85</f>
        <v>0.12525</v>
      </c>
      <c r="BH85" s="17">
        <f>F85*AO85</f>
        <v>0</v>
      </c>
      <c r="BI85" s="17">
        <f>F85*AP85</f>
        <v>0</v>
      </c>
      <c r="BJ85" s="17">
        <f>F85*G85</f>
        <v>0</v>
      </c>
    </row>
    <row r="86" spans="1:47" ht="12.75">
      <c r="A86" s="5"/>
      <c r="B86" s="13"/>
      <c r="C86" s="13" t="s">
        <v>67</v>
      </c>
      <c r="D86" s="13" t="s">
        <v>326</v>
      </c>
      <c r="E86" s="5" t="s">
        <v>6</v>
      </c>
      <c r="F86" s="5" t="s">
        <v>6</v>
      </c>
      <c r="G86" s="5" t="s">
        <v>6</v>
      </c>
      <c r="H86" s="37">
        <f>SUM(H87:H94)</f>
        <v>0</v>
      </c>
      <c r="I86" s="37">
        <f>SUM(I87:I94)</f>
        <v>0</v>
      </c>
      <c r="J86" s="37">
        <f>SUM(J87:J94)</f>
        <v>0</v>
      </c>
      <c r="K86" s="26"/>
      <c r="L86" s="37">
        <f>SUM(L87:L94)</f>
        <v>3.4021600000000003</v>
      </c>
      <c r="M86" s="26"/>
      <c r="AI86" s="26"/>
      <c r="AS86" s="37">
        <f>SUM(AJ87:AJ94)</f>
        <v>0</v>
      </c>
      <c r="AT86" s="37">
        <f>SUM(AK87:AK94)</f>
        <v>0</v>
      </c>
      <c r="AU86" s="37">
        <f>SUM(AL87:AL94)</f>
        <v>0</v>
      </c>
    </row>
    <row r="87" spans="1:62" ht="12.75">
      <c r="A87" s="4" t="s">
        <v>54</v>
      </c>
      <c r="B87" s="4"/>
      <c r="C87" s="4" t="s">
        <v>172</v>
      </c>
      <c r="D87" s="4" t="s">
        <v>327</v>
      </c>
      <c r="E87" s="4" t="s">
        <v>448</v>
      </c>
      <c r="F87" s="17">
        <v>16</v>
      </c>
      <c r="G87" s="17"/>
      <c r="H87" s="17">
        <f>F87*AO87</f>
        <v>0</v>
      </c>
      <c r="I87" s="17">
        <f>F87*AP87</f>
        <v>0</v>
      </c>
      <c r="J87" s="17">
        <f>F87*G87</f>
        <v>0</v>
      </c>
      <c r="K87" s="17">
        <v>0.03781</v>
      </c>
      <c r="L87" s="17">
        <f>F87*K87</f>
        <v>0.60496</v>
      </c>
      <c r="M87" s="29"/>
      <c r="Z87" s="34">
        <f>IF(AQ87="5",BJ87,0)</f>
        <v>0</v>
      </c>
      <c r="AB87" s="34">
        <f>IF(AQ87="1",BH87,0)</f>
        <v>0</v>
      </c>
      <c r="AC87" s="34">
        <f>IF(AQ87="1",BI87,0)</f>
        <v>0</v>
      </c>
      <c r="AD87" s="34">
        <f>IF(AQ87="7",BH87,0)</f>
        <v>0</v>
      </c>
      <c r="AE87" s="34">
        <f>IF(AQ87="7",BI87,0)</f>
        <v>0</v>
      </c>
      <c r="AF87" s="34">
        <f>IF(AQ87="2",BH87,0)</f>
        <v>0</v>
      </c>
      <c r="AG87" s="34">
        <f>IF(AQ87="2",BI87,0)</f>
        <v>0</v>
      </c>
      <c r="AH87" s="34">
        <f>IF(AQ87="0",BJ87,0)</f>
        <v>0</v>
      </c>
      <c r="AI87" s="26"/>
      <c r="AJ87" s="17">
        <f>IF(AN87=0,J87,0)</f>
        <v>0</v>
      </c>
      <c r="AK87" s="17">
        <f>IF(AN87=15,J87,0)</f>
        <v>0</v>
      </c>
      <c r="AL87" s="17">
        <f>IF(AN87=21,J87,0)</f>
        <v>0</v>
      </c>
      <c r="AN87" s="34">
        <v>21</v>
      </c>
      <c r="AO87" s="34">
        <f>G87*0.262271062271062</f>
        <v>0</v>
      </c>
      <c r="AP87" s="34">
        <f>G87*(1-0.262271062271062)</f>
        <v>0</v>
      </c>
      <c r="AQ87" s="29" t="s">
        <v>7</v>
      </c>
      <c r="AV87" s="34">
        <f>AW87+AX87</f>
        <v>0</v>
      </c>
      <c r="AW87" s="34">
        <f>F87*AO87</f>
        <v>0</v>
      </c>
      <c r="AX87" s="34">
        <f>F87*AP87</f>
        <v>0</v>
      </c>
      <c r="AY87" s="35" t="s">
        <v>494</v>
      </c>
      <c r="AZ87" s="35" t="s">
        <v>522</v>
      </c>
      <c r="BA87" s="26" t="s">
        <v>531</v>
      </c>
      <c r="BC87" s="34">
        <f>AW87+AX87</f>
        <v>0</v>
      </c>
      <c r="BD87" s="34">
        <f>G87/(100-BE87)*100</f>
        <v>0</v>
      </c>
      <c r="BE87" s="34">
        <v>0</v>
      </c>
      <c r="BF87" s="34">
        <f>L87</f>
        <v>0.60496</v>
      </c>
      <c r="BH87" s="17">
        <f>F87*AO87</f>
        <v>0</v>
      </c>
      <c r="BI87" s="17">
        <f>F87*AP87</f>
        <v>0</v>
      </c>
      <c r="BJ87" s="17">
        <f>F87*G87</f>
        <v>0</v>
      </c>
    </row>
    <row r="88" ht="12.75">
      <c r="D88" s="15" t="s">
        <v>308</v>
      </c>
    </row>
    <row r="89" spans="1:62" ht="12.75">
      <c r="A89" s="4" t="s">
        <v>55</v>
      </c>
      <c r="B89" s="4"/>
      <c r="C89" s="4" t="s">
        <v>173</v>
      </c>
      <c r="D89" s="4" t="s">
        <v>328</v>
      </c>
      <c r="E89" s="4" t="s">
        <v>442</v>
      </c>
      <c r="F89" s="17">
        <v>24</v>
      </c>
      <c r="G89" s="17"/>
      <c r="H89" s="17">
        <f>F89*AO89</f>
        <v>0</v>
      </c>
      <c r="I89" s="17">
        <f>F89*AP89</f>
        <v>0</v>
      </c>
      <c r="J89" s="17">
        <f>F89*G89</f>
        <v>0</v>
      </c>
      <c r="K89" s="17">
        <v>0.0339</v>
      </c>
      <c r="L89" s="17">
        <f>F89*K89</f>
        <v>0.8136</v>
      </c>
      <c r="M89" s="29"/>
      <c r="Z89" s="34">
        <f>IF(AQ89="5",BJ89,0)</f>
        <v>0</v>
      </c>
      <c r="AB89" s="34">
        <f>IF(AQ89="1",BH89,0)</f>
        <v>0</v>
      </c>
      <c r="AC89" s="34">
        <f>IF(AQ89="1",BI89,0)</f>
        <v>0</v>
      </c>
      <c r="AD89" s="34">
        <f>IF(AQ89="7",BH89,0)</f>
        <v>0</v>
      </c>
      <c r="AE89" s="34">
        <f>IF(AQ89="7",BI89,0)</f>
        <v>0</v>
      </c>
      <c r="AF89" s="34">
        <f>IF(AQ89="2",BH89,0)</f>
        <v>0</v>
      </c>
      <c r="AG89" s="34">
        <f>IF(AQ89="2",BI89,0)</f>
        <v>0</v>
      </c>
      <c r="AH89" s="34">
        <f>IF(AQ89="0",BJ89,0)</f>
        <v>0</v>
      </c>
      <c r="AI89" s="26"/>
      <c r="AJ89" s="17">
        <f>IF(AN89=0,J89,0)</f>
        <v>0</v>
      </c>
      <c r="AK89" s="17">
        <f>IF(AN89=15,J89,0)</f>
        <v>0</v>
      </c>
      <c r="AL89" s="17">
        <f>IF(AN89=21,J89,0)</f>
        <v>0</v>
      </c>
      <c r="AN89" s="34">
        <v>21</v>
      </c>
      <c r="AO89" s="34">
        <f>G89*0.275045126353791</f>
        <v>0</v>
      </c>
      <c r="AP89" s="34">
        <f>G89*(1-0.275045126353791)</f>
        <v>0</v>
      </c>
      <c r="AQ89" s="29" t="s">
        <v>7</v>
      </c>
      <c r="AV89" s="34">
        <f>AW89+AX89</f>
        <v>0</v>
      </c>
      <c r="AW89" s="34">
        <f>F89*AO89</f>
        <v>0</v>
      </c>
      <c r="AX89" s="34">
        <f>F89*AP89</f>
        <v>0</v>
      </c>
      <c r="AY89" s="35" t="s">
        <v>494</v>
      </c>
      <c r="AZ89" s="35" t="s">
        <v>522</v>
      </c>
      <c r="BA89" s="26" t="s">
        <v>531</v>
      </c>
      <c r="BC89" s="34">
        <f>AW89+AX89</f>
        <v>0</v>
      </c>
      <c r="BD89" s="34">
        <f>G89/(100-BE89)*100</f>
        <v>0</v>
      </c>
      <c r="BE89" s="34">
        <v>0</v>
      </c>
      <c r="BF89" s="34">
        <f>L89</f>
        <v>0.8136</v>
      </c>
      <c r="BH89" s="17">
        <f>F89*AO89</f>
        <v>0</v>
      </c>
      <c r="BI89" s="17">
        <f>F89*AP89</f>
        <v>0</v>
      </c>
      <c r="BJ89" s="17">
        <f>F89*G89</f>
        <v>0</v>
      </c>
    </row>
    <row r="90" ht="12.75">
      <c r="D90" s="15" t="s">
        <v>329</v>
      </c>
    </row>
    <row r="91" spans="1:62" ht="12.75">
      <c r="A91" s="4" t="s">
        <v>56</v>
      </c>
      <c r="B91" s="4"/>
      <c r="C91" s="4" t="s">
        <v>174</v>
      </c>
      <c r="D91" s="4" t="s">
        <v>330</v>
      </c>
      <c r="E91" s="4" t="s">
        <v>442</v>
      </c>
      <c r="F91" s="17">
        <v>18</v>
      </c>
      <c r="G91" s="17"/>
      <c r="H91" s="17">
        <f>F91*AO91</f>
        <v>0</v>
      </c>
      <c r="I91" s="17">
        <f>F91*AP91</f>
        <v>0</v>
      </c>
      <c r="J91" s="17">
        <f>F91*G91</f>
        <v>0</v>
      </c>
      <c r="K91" s="17">
        <v>0</v>
      </c>
      <c r="L91" s="17">
        <f>F91*K91</f>
        <v>0</v>
      </c>
      <c r="M91" s="29"/>
      <c r="Z91" s="34">
        <f>IF(AQ91="5",BJ91,0)</f>
        <v>0</v>
      </c>
      <c r="AB91" s="34">
        <f>IF(AQ91="1",BH91,0)</f>
        <v>0</v>
      </c>
      <c r="AC91" s="34">
        <f>IF(AQ91="1",BI91,0)</f>
        <v>0</v>
      </c>
      <c r="AD91" s="34">
        <f>IF(AQ91="7",BH91,0)</f>
        <v>0</v>
      </c>
      <c r="AE91" s="34">
        <f>IF(AQ91="7",BI91,0)</f>
        <v>0</v>
      </c>
      <c r="AF91" s="34">
        <f>IF(AQ91="2",BH91,0)</f>
        <v>0</v>
      </c>
      <c r="AG91" s="34">
        <f>IF(AQ91="2",BI91,0)</f>
        <v>0</v>
      </c>
      <c r="AH91" s="34">
        <f>IF(AQ91="0",BJ91,0)</f>
        <v>0</v>
      </c>
      <c r="AI91" s="26"/>
      <c r="AJ91" s="17">
        <f>IF(AN91=0,J91,0)</f>
        <v>0</v>
      </c>
      <c r="AK91" s="17">
        <f>IF(AN91=15,J91,0)</f>
        <v>0</v>
      </c>
      <c r="AL91" s="17">
        <f>IF(AN91=21,J91,0)</f>
        <v>0</v>
      </c>
      <c r="AN91" s="34">
        <v>21</v>
      </c>
      <c r="AO91" s="34">
        <f>G91*0</f>
        <v>0</v>
      </c>
      <c r="AP91" s="34">
        <f>G91*(1-0)</f>
        <v>0</v>
      </c>
      <c r="AQ91" s="29" t="s">
        <v>7</v>
      </c>
      <c r="AV91" s="34">
        <f>AW91+AX91</f>
        <v>0</v>
      </c>
      <c r="AW91" s="34">
        <f>F91*AO91</f>
        <v>0</v>
      </c>
      <c r="AX91" s="34">
        <f>F91*AP91</f>
        <v>0</v>
      </c>
      <c r="AY91" s="35" t="s">
        <v>494</v>
      </c>
      <c r="AZ91" s="35" t="s">
        <v>522</v>
      </c>
      <c r="BA91" s="26" t="s">
        <v>531</v>
      </c>
      <c r="BC91" s="34">
        <f>AW91+AX91</f>
        <v>0</v>
      </c>
      <c r="BD91" s="34">
        <f>G91/(100-BE91)*100</f>
        <v>0</v>
      </c>
      <c r="BE91" s="34">
        <v>0</v>
      </c>
      <c r="BF91" s="34">
        <f>L91</f>
        <v>0</v>
      </c>
      <c r="BH91" s="17">
        <f>F91*AO91</f>
        <v>0</v>
      </c>
      <c r="BI91" s="17">
        <f>F91*AP91</f>
        <v>0</v>
      </c>
      <c r="BJ91" s="17">
        <f>F91*G91</f>
        <v>0</v>
      </c>
    </row>
    <row r="92" spans="1:62" ht="12.75">
      <c r="A92" s="4" t="s">
        <v>57</v>
      </c>
      <c r="B92" s="4"/>
      <c r="C92" s="4" t="s">
        <v>175</v>
      </c>
      <c r="D92" s="4" t="s">
        <v>331</v>
      </c>
      <c r="E92" s="4" t="s">
        <v>442</v>
      </c>
      <c r="F92" s="17">
        <v>90</v>
      </c>
      <c r="G92" s="17"/>
      <c r="H92" s="17">
        <f>F92*AO92</f>
        <v>0</v>
      </c>
      <c r="I92" s="17">
        <f>F92*AP92</f>
        <v>0</v>
      </c>
      <c r="J92" s="17">
        <f>F92*G92</f>
        <v>0</v>
      </c>
      <c r="K92" s="17">
        <v>0.01646</v>
      </c>
      <c r="L92" s="17">
        <f>F92*K92</f>
        <v>1.4813999999999998</v>
      </c>
      <c r="M92" s="29"/>
      <c r="Z92" s="34">
        <f>IF(AQ92="5",BJ92,0)</f>
        <v>0</v>
      </c>
      <c r="AB92" s="34">
        <f>IF(AQ92="1",BH92,0)</f>
        <v>0</v>
      </c>
      <c r="AC92" s="34">
        <f>IF(AQ92="1",BI92,0)</f>
        <v>0</v>
      </c>
      <c r="AD92" s="34">
        <f>IF(AQ92="7",BH92,0)</f>
        <v>0</v>
      </c>
      <c r="AE92" s="34">
        <f>IF(AQ92="7",BI92,0)</f>
        <v>0</v>
      </c>
      <c r="AF92" s="34">
        <f>IF(AQ92="2",BH92,0)</f>
        <v>0</v>
      </c>
      <c r="AG92" s="34">
        <f>IF(AQ92="2",BI92,0)</f>
        <v>0</v>
      </c>
      <c r="AH92" s="34">
        <f>IF(AQ92="0",BJ92,0)</f>
        <v>0</v>
      </c>
      <c r="AI92" s="26"/>
      <c r="AJ92" s="17">
        <f>IF(AN92=0,J92,0)</f>
        <v>0</v>
      </c>
      <c r="AK92" s="17">
        <f>IF(AN92=15,J92,0)</f>
        <v>0</v>
      </c>
      <c r="AL92" s="17">
        <f>IF(AN92=21,J92,0)</f>
        <v>0</v>
      </c>
      <c r="AN92" s="34">
        <v>21</v>
      </c>
      <c r="AO92" s="34">
        <f>G92*0.195982008995502</f>
        <v>0</v>
      </c>
      <c r="AP92" s="34">
        <f>G92*(1-0.195982008995502)</f>
        <v>0</v>
      </c>
      <c r="AQ92" s="29" t="s">
        <v>7</v>
      </c>
      <c r="AV92" s="34">
        <f>AW92+AX92</f>
        <v>0</v>
      </c>
      <c r="AW92" s="34">
        <f>F92*AO92</f>
        <v>0</v>
      </c>
      <c r="AX92" s="34">
        <f>F92*AP92</f>
        <v>0</v>
      </c>
      <c r="AY92" s="35" t="s">
        <v>494</v>
      </c>
      <c r="AZ92" s="35" t="s">
        <v>522</v>
      </c>
      <c r="BA92" s="26" t="s">
        <v>531</v>
      </c>
      <c r="BC92" s="34">
        <f>AW92+AX92</f>
        <v>0</v>
      </c>
      <c r="BD92" s="34">
        <f>G92/(100-BE92)*100</f>
        <v>0</v>
      </c>
      <c r="BE92" s="34">
        <v>0</v>
      </c>
      <c r="BF92" s="34">
        <f>L92</f>
        <v>1.4813999999999998</v>
      </c>
      <c r="BH92" s="17">
        <f>F92*AO92</f>
        <v>0</v>
      </c>
      <c r="BI92" s="17">
        <f>F92*AP92</f>
        <v>0</v>
      </c>
      <c r="BJ92" s="17">
        <f>F92*G92</f>
        <v>0</v>
      </c>
    </row>
    <row r="93" ht="12.75">
      <c r="D93" s="15" t="s">
        <v>308</v>
      </c>
    </row>
    <row r="94" spans="1:62" ht="12.75">
      <c r="A94" s="4" t="s">
        <v>58</v>
      </c>
      <c r="B94" s="4"/>
      <c r="C94" s="4" t="s">
        <v>176</v>
      </c>
      <c r="D94" s="4" t="s">
        <v>332</v>
      </c>
      <c r="E94" s="4" t="s">
        <v>442</v>
      </c>
      <c r="F94" s="17">
        <v>27</v>
      </c>
      <c r="G94" s="17"/>
      <c r="H94" s="17">
        <f>F94*AO94</f>
        <v>0</v>
      </c>
      <c r="I94" s="17">
        <f>F94*AP94</f>
        <v>0</v>
      </c>
      <c r="J94" s="17">
        <f>F94*G94</f>
        <v>0</v>
      </c>
      <c r="K94" s="17">
        <v>0.0186</v>
      </c>
      <c r="L94" s="17">
        <f>F94*K94</f>
        <v>0.5022</v>
      </c>
      <c r="M94" s="29"/>
      <c r="Z94" s="34">
        <f>IF(AQ94="5",BJ94,0)</f>
        <v>0</v>
      </c>
      <c r="AB94" s="34">
        <f>IF(AQ94="1",BH94,0)</f>
        <v>0</v>
      </c>
      <c r="AC94" s="34">
        <f>IF(AQ94="1",BI94,0)</f>
        <v>0</v>
      </c>
      <c r="AD94" s="34">
        <f>IF(AQ94="7",BH94,0)</f>
        <v>0</v>
      </c>
      <c r="AE94" s="34">
        <f>IF(AQ94="7",BI94,0)</f>
        <v>0</v>
      </c>
      <c r="AF94" s="34">
        <f>IF(AQ94="2",BH94,0)</f>
        <v>0</v>
      </c>
      <c r="AG94" s="34">
        <f>IF(AQ94="2",BI94,0)</f>
        <v>0</v>
      </c>
      <c r="AH94" s="34">
        <f>IF(AQ94="0",BJ94,0)</f>
        <v>0</v>
      </c>
      <c r="AI94" s="26"/>
      <c r="AJ94" s="17">
        <f>IF(AN94=0,J94,0)</f>
        <v>0</v>
      </c>
      <c r="AK94" s="17">
        <f>IF(AN94=15,J94,0)</f>
        <v>0</v>
      </c>
      <c r="AL94" s="17">
        <f>IF(AN94=21,J94,0)</f>
        <v>0</v>
      </c>
      <c r="AN94" s="34">
        <v>21</v>
      </c>
      <c r="AO94" s="34">
        <f>G94*0.222924791086351</f>
        <v>0</v>
      </c>
      <c r="AP94" s="34">
        <f>G94*(1-0.222924791086351)</f>
        <v>0</v>
      </c>
      <c r="AQ94" s="29" t="s">
        <v>7</v>
      </c>
      <c r="AV94" s="34">
        <f>AW94+AX94</f>
        <v>0</v>
      </c>
      <c r="AW94" s="34">
        <f>F94*AO94</f>
        <v>0</v>
      </c>
      <c r="AX94" s="34">
        <f>F94*AP94</f>
        <v>0</v>
      </c>
      <c r="AY94" s="35" t="s">
        <v>494</v>
      </c>
      <c r="AZ94" s="35" t="s">
        <v>522</v>
      </c>
      <c r="BA94" s="26" t="s">
        <v>531</v>
      </c>
      <c r="BC94" s="34">
        <f>AW94+AX94</f>
        <v>0</v>
      </c>
      <c r="BD94" s="34">
        <f>G94/(100-BE94)*100</f>
        <v>0</v>
      </c>
      <c r="BE94" s="34">
        <v>0</v>
      </c>
      <c r="BF94" s="34">
        <f>L94</f>
        <v>0.5022</v>
      </c>
      <c r="BH94" s="17">
        <f>F94*AO94</f>
        <v>0</v>
      </c>
      <c r="BI94" s="17">
        <f>F94*AP94</f>
        <v>0</v>
      </c>
      <c r="BJ94" s="17">
        <f>F94*G94</f>
        <v>0</v>
      </c>
    </row>
    <row r="95" ht="12.75">
      <c r="D95" s="15" t="s">
        <v>308</v>
      </c>
    </row>
    <row r="96" spans="1:47" ht="12.75">
      <c r="A96" s="5"/>
      <c r="B96" s="13"/>
      <c r="C96" s="13" t="s">
        <v>68</v>
      </c>
      <c r="D96" s="13" t="s">
        <v>333</v>
      </c>
      <c r="E96" s="5" t="s">
        <v>6</v>
      </c>
      <c r="F96" s="5" t="s">
        <v>6</v>
      </c>
      <c r="G96" s="5" t="s">
        <v>6</v>
      </c>
      <c r="H96" s="37">
        <f>SUM(H97:H99)</f>
        <v>0</v>
      </c>
      <c r="I96" s="37">
        <f>SUM(I97:I99)</f>
        <v>0</v>
      </c>
      <c r="J96" s="37">
        <f>SUM(J97:J99)</f>
        <v>0</v>
      </c>
      <c r="K96" s="26"/>
      <c r="L96" s="37">
        <f>SUM(L97:L99)</f>
        <v>1.3110899999999999</v>
      </c>
      <c r="M96" s="26"/>
      <c r="AI96" s="26"/>
      <c r="AS96" s="37">
        <f>SUM(AJ97:AJ99)</f>
        <v>0</v>
      </c>
      <c r="AT96" s="37">
        <f>SUM(AK97:AK99)</f>
        <v>0</v>
      </c>
      <c r="AU96" s="37">
        <f>SUM(AL97:AL99)</f>
        <v>0</v>
      </c>
    </row>
    <row r="97" spans="1:62" ht="12.75">
      <c r="A97" s="4" t="s">
        <v>59</v>
      </c>
      <c r="B97" s="4"/>
      <c r="C97" s="4" t="s">
        <v>177</v>
      </c>
      <c r="D97" s="4" t="s">
        <v>334</v>
      </c>
      <c r="E97" s="4" t="s">
        <v>442</v>
      </c>
      <c r="F97" s="17">
        <v>9</v>
      </c>
      <c r="G97" s="17"/>
      <c r="H97" s="17">
        <f>F97*AO97</f>
        <v>0</v>
      </c>
      <c r="I97" s="17">
        <f>F97*AP97</f>
        <v>0</v>
      </c>
      <c r="J97" s="17">
        <f>F97*G97</f>
        <v>0</v>
      </c>
      <c r="K97" s="17">
        <v>0.05265</v>
      </c>
      <c r="L97" s="17">
        <f>F97*K97</f>
        <v>0.47385</v>
      </c>
      <c r="M97" s="29"/>
      <c r="Z97" s="34">
        <f>IF(AQ97="5",BJ97,0)</f>
        <v>0</v>
      </c>
      <c r="AB97" s="34">
        <f>IF(AQ97="1",BH97,0)</f>
        <v>0</v>
      </c>
      <c r="AC97" s="34">
        <f>IF(AQ97="1",BI97,0)</f>
        <v>0</v>
      </c>
      <c r="AD97" s="34">
        <f>IF(AQ97="7",BH97,0)</f>
        <v>0</v>
      </c>
      <c r="AE97" s="34">
        <f>IF(AQ97="7",BI97,0)</f>
        <v>0</v>
      </c>
      <c r="AF97" s="34">
        <f>IF(AQ97="2",BH97,0)</f>
        <v>0</v>
      </c>
      <c r="AG97" s="34">
        <f>IF(AQ97="2",BI97,0)</f>
        <v>0</v>
      </c>
      <c r="AH97" s="34">
        <f>IF(AQ97="0",BJ97,0)</f>
        <v>0</v>
      </c>
      <c r="AI97" s="26"/>
      <c r="AJ97" s="17">
        <f>IF(AN97=0,J97,0)</f>
        <v>0</v>
      </c>
      <c r="AK97" s="17">
        <f>IF(AN97=15,J97,0)</f>
        <v>0</v>
      </c>
      <c r="AL97" s="17">
        <f>IF(AN97=21,J97,0)</f>
        <v>0</v>
      </c>
      <c r="AN97" s="34">
        <v>21</v>
      </c>
      <c r="AO97" s="34">
        <f>G97*0.131803652968037</f>
        <v>0</v>
      </c>
      <c r="AP97" s="34">
        <f>G97*(1-0.131803652968037)</f>
        <v>0</v>
      </c>
      <c r="AQ97" s="29" t="s">
        <v>7</v>
      </c>
      <c r="AV97" s="34">
        <f>AW97+AX97</f>
        <v>0</v>
      </c>
      <c r="AW97" s="34">
        <f>F97*AO97</f>
        <v>0</v>
      </c>
      <c r="AX97" s="34">
        <f>F97*AP97</f>
        <v>0</v>
      </c>
      <c r="AY97" s="35" t="s">
        <v>495</v>
      </c>
      <c r="AZ97" s="35" t="s">
        <v>522</v>
      </c>
      <c r="BA97" s="26" t="s">
        <v>531</v>
      </c>
      <c r="BC97" s="34">
        <f>AW97+AX97</f>
        <v>0</v>
      </c>
      <c r="BD97" s="34">
        <f>G97/(100-BE97)*100</f>
        <v>0</v>
      </c>
      <c r="BE97" s="34">
        <v>0</v>
      </c>
      <c r="BF97" s="34">
        <f>L97</f>
        <v>0.47385</v>
      </c>
      <c r="BH97" s="17">
        <f>F97*AO97</f>
        <v>0</v>
      </c>
      <c r="BI97" s="17">
        <f>F97*AP97</f>
        <v>0</v>
      </c>
      <c r="BJ97" s="17">
        <f>F97*G97</f>
        <v>0</v>
      </c>
    </row>
    <row r="98" spans="1:62" ht="12.75">
      <c r="A98" s="4" t="s">
        <v>60</v>
      </c>
      <c r="B98" s="4"/>
      <c r="C98" s="4" t="s">
        <v>178</v>
      </c>
      <c r="D98" s="4" t="s">
        <v>335</v>
      </c>
      <c r="E98" s="4" t="s">
        <v>442</v>
      </c>
      <c r="F98" s="17">
        <v>14</v>
      </c>
      <c r="G98" s="17"/>
      <c r="H98" s="17">
        <f>F98*AO98</f>
        <v>0</v>
      </c>
      <c r="I98" s="17">
        <f>F98*AP98</f>
        <v>0</v>
      </c>
      <c r="J98" s="17">
        <f>F98*G98</f>
        <v>0</v>
      </c>
      <c r="K98" s="17">
        <v>0.05946</v>
      </c>
      <c r="L98" s="17">
        <f>F98*K98</f>
        <v>0.83244</v>
      </c>
      <c r="M98" s="29"/>
      <c r="Z98" s="34">
        <f>IF(AQ98="5",BJ98,0)</f>
        <v>0</v>
      </c>
      <c r="AB98" s="34">
        <f>IF(AQ98="1",BH98,0)</f>
        <v>0</v>
      </c>
      <c r="AC98" s="34">
        <f>IF(AQ98="1",BI98,0)</f>
        <v>0</v>
      </c>
      <c r="AD98" s="34">
        <f>IF(AQ98="7",BH98,0)</f>
        <v>0</v>
      </c>
      <c r="AE98" s="34">
        <f>IF(AQ98="7",BI98,0)</f>
        <v>0</v>
      </c>
      <c r="AF98" s="34">
        <f>IF(AQ98="2",BH98,0)</f>
        <v>0</v>
      </c>
      <c r="AG98" s="34">
        <f>IF(AQ98="2",BI98,0)</f>
        <v>0</v>
      </c>
      <c r="AH98" s="34">
        <f>IF(AQ98="0",BJ98,0)</f>
        <v>0</v>
      </c>
      <c r="AI98" s="26"/>
      <c r="AJ98" s="17">
        <f>IF(AN98=0,J98,0)</f>
        <v>0</v>
      </c>
      <c r="AK98" s="17">
        <f>IF(AN98=15,J98,0)</f>
        <v>0</v>
      </c>
      <c r="AL98" s="17">
        <f>IF(AN98=21,J98,0)</f>
        <v>0</v>
      </c>
      <c r="AN98" s="34">
        <v>21</v>
      </c>
      <c r="AO98" s="34">
        <f>G98*0.13264680642393</f>
        <v>0</v>
      </c>
      <c r="AP98" s="34">
        <f>G98*(1-0.13264680642393)</f>
        <v>0</v>
      </c>
      <c r="AQ98" s="29" t="s">
        <v>7</v>
      </c>
      <c r="AV98" s="34">
        <f>AW98+AX98</f>
        <v>0</v>
      </c>
      <c r="AW98" s="34">
        <f>F98*AO98</f>
        <v>0</v>
      </c>
      <c r="AX98" s="34">
        <f>F98*AP98</f>
        <v>0</v>
      </c>
      <c r="AY98" s="35" t="s">
        <v>495</v>
      </c>
      <c r="AZ98" s="35" t="s">
        <v>522</v>
      </c>
      <c r="BA98" s="26" t="s">
        <v>531</v>
      </c>
      <c r="BC98" s="34">
        <f>AW98+AX98</f>
        <v>0</v>
      </c>
      <c r="BD98" s="34">
        <f>G98/(100-BE98)*100</f>
        <v>0</v>
      </c>
      <c r="BE98" s="34">
        <v>0</v>
      </c>
      <c r="BF98" s="34">
        <f>L98</f>
        <v>0.83244</v>
      </c>
      <c r="BH98" s="17">
        <f>F98*AO98</f>
        <v>0</v>
      </c>
      <c r="BI98" s="17">
        <f>F98*AP98</f>
        <v>0</v>
      </c>
      <c r="BJ98" s="17">
        <f>F98*G98</f>
        <v>0</v>
      </c>
    </row>
    <row r="99" spans="1:62" ht="12.75">
      <c r="A99" s="4" t="s">
        <v>61</v>
      </c>
      <c r="B99" s="4"/>
      <c r="C99" s="4" t="s">
        <v>179</v>
      </c>
      <c r="D99" s="4" t="s">
        <v>336</v>
      </c>
      <c r="E99" s="4" t="s">
        <v>442</v>
      </c>
      <c r="F99" s="17">
        <v>12</v>
      </c>
      <c r="G99" s="17"/>
      <c r="H99" s="17">
        <f>F99*AO99</f>
        <v>0</v>
      </c>
      <c r="I99" s="17">
        <f>F99*AP99</f>
        <v>0</v>
      </c>
      <c r="J99" s="17">
        <f>F99*G99</f>
        <v>0</v>
      </c>
      <c r="K99" s="17">
        <v>0.0004</v>
      </c>
      <c r="L99" s="17">
        <f>F99*K99</f>
        <v>0.0048000000000000004</v>
      </c>
      <c r="M99" s="29"/>
      <c r="Z99" s="34">
        <f>IF(AQ99="5",BJ99,0)</f>
        <v>0</v>
      </c>
      <c r="AB99" s="34">
        <f>IF(AQ99="1",BH99,0)</f>
        <v>0</v>
      </c>
      <c r="AC99" s="34">
        <f>IF(AQ99="1",BI99,0)</f>
        <v>0</v>
      </c>
      <c r="AD99" s="34">
        <f>IF(AQ99="7",BH99,0)</f>
        <v>0</v>
      </c>
      <c r="AE99" s="34">
        <f>IF(AQ99="7",BI99,0)</f>
        <v>0</v>
      </c>
      <c r="AF99" s="34">
        <f>IF(AQ99="2",BH99,0)</f>
        <v>0</v>
      </c>
      <c r="AG99" s="34">
        <f>IF(AQ99="2",BI99,0)</f>
        <v>0</v>
      </c>
      <c r="AH99" s="34">
        <f>IF(AQ99="0",BJ99,0)</f>
        <v>0</v>
      </c>
      <c r="AI99" s="26"/>
      <c r="AJ99" s="17">
        <f>IF(AN99=0,J99,0)</f>
        <v>0</v>
      </c>
      <c r="AK99" s="17">
        <f>IF(AN99=15,J99,0)</f>
        <v>0</v>
      </c>
      <c r="AL99" s="17">
        <f>IF(AN99=21,J99,0)</f>
        <v>0</v>
      </c>
      <c r="AN99" s="34">
        <v>21</v>
      </c>
      <c r="AO99" s="34">
        <f>G99*0.292857142857143</f>
        <v>0</v>
      </c>
      <c r="AP99" s="34">
        <f>G99*(1-0.292857142857143)</f>
        <v>0</v>
      </c>
      <c r="AQ99" s="29" t="s">
        <v>7</v>
      </c>
      <c r="AV99" s="34">
        <f>AW99+AX99</f>
        <v>0</v>
      </c>
      <c r="AW99" s="34">
        <f>F99*AO99</f>
        <v>0</v>
      </c>
      <c r="AX99" s="34">
        <f>F99*AP99</f>
        <v>0</v>
      </c>
      <c r="AY99" s="35" t="s">
        <v>495</v>
      </c>
      <c r="AZ99" s="35" t="s">
        <v>522</v>
      </c>
      <c r="BA99" s="26" t="s">
        <v>531</v>
      </c>
      <c r="BC99" s="34">
        <f>AW99+AX99</f>
        <v>0</v>
      </c>
      <c r="BD99" s="34">
        <f>G99/(100-BE99)*100</f>
        <v>0</v>
      </c>
      <c r="BE99" s="34">
        <v>0</v>
      </c>
      <c r="BF99" s="34">
        <f>L99</f>
        <v>0.0048000000000000004</v>
      </c>
      <c r="BH99" s="17">
        <f>F99*AO99</f>
        <v>0</v>
      </c>
      <c r="BI99" s="17">
        <f>F99*AP99</f>
        <v>0</v>
      </c>
      <c r="BJ99" s="17">
        <f>F99*G99</f>
        <v>0</v>
      </c>
    </row>
    <row r="100" spans="1:47" ht="12.75">
      <c r="A100" s="5"/>
      <c r="B100" s="13"/>
      <c r="C100" s="13" t="s">
        <v>69</v>
      </c>
      <c r="D100" s="13" t="s">
        <v>337</v>
      </c>
      <c r="E100" s="5" t="s">
        <v>6</v>
      </c>
      <c r="F100" s="5" t="s">
        <v>6</v>
      </c>
      <c r="G100" s="5" t="s">
        <v>6</v>
      </c>
      <c r="H100" s="37">
        <f>SUM(H101:H103)</f>
        <v>0</v>
      </c>
      <c r="I100" s="37">
        <f>SUM(I101:I103)</f>
        <v>0</v>
      </c>
      <c r="J100" s="37">
        <f>SUM(J101:J103)</f>
        <v>0</v>
      </c>
      <c r="K100" s="26"/>
      <c r="L100" s="37">
        <f>SUM(L101:L103)</f>
        <v>1.9796</v>
      </c>
      <c r="M100" s="26"/>
      <c r="AI100" s="26"/>
      <c r="AS100" s="37">
        <f>SUM(AJ101:AJ103)</f>
        <v>0</v>
      </c>
      <c r="AT100" s="37">
        <f>SUM(AK101:AK103)</f>
        <v>0</v>
      </c>
      <c r="AU100" s="37">
        <f>SUM(AL101:AL103)</f>
        <v>0</v>
      </c>
    </row>
    <row r="101" spans="1:62" ht="12.75">
      <c r="A101" s="4" t="s">
        <v>62</v>
      </c>
      <c r="B101" s="4"/>
      <c r="C101" s="4" t="s">
        <v>180</v>
      </c>
      <c r="D101" s="4" t="s">
        <v>338</v>
      </c>
      <c r="E101" s="4" t="s">
        <v>446</v>
      </c>
      <c r="F101" s="17">
        <v>0.384</v>
      </c>
      <c r="G101" s="17"/>
      <c r="H101" s="17">
        <f>F101*AO101</f>
        <v>0</v>
      </c>
      <c r="I101" s="17">
        <f>F101*AP101</f>
        <v>0</v>
      </c>
      <c r="J101" s="17">
        <f>F101*G101</f>
        <v>0</v>
      </c>
      <c r="K101" s="17">
        <v>2.525</v>
      </c>
      <c r="L101" s="17">
        <f>F101*K101</f>
        <v>0.9696</v>
      </c>
      <c r="M101" s="29"/>
      <c r="Z101" s="34">
        <f>IF(AQ101="5",BJ101,0)</f>
        <v>0</v>
      </c>
      <c r="AB101" s="34">
        <f>IF(AQ101="1",BH101,0)</f>
        <v>0</v>
      </c>
      <c r="AC101" s="34">
        <f>IF(AQ101="1",BI101,0)</f>
        <v>0</v>
      </c>
      <c r="AD101" s="34">
        <f>IF(AQ101="7",BH101,0)</f>
        <v>0</v>
      </c>
      <c r="AE101" s="34">
        <f>IF(AQ101="7",BI101,0)</f>
        <v>0</v>
      </c>
      <c r="AF101" s="34">
        <f>IF(AQ101="2",BH101,0)</f>
        <v>0</v>
      </c>
      <c r="AG101" s="34">
        <f>IF(AQ101="2",BI101,0)</f>
        <v>0</v>
      </c>
      <c r="AH101" s="34">
        <f>IF(AQ101="0",BJ101,0)</f>
        <v>0</v>
      </c>
      <c r="AI101" s="26"/>
      <c r="AJ101" s="17">
        <f>IF(AN101=0,J101,0)</f>
        <v>0</v>
      </c>
      <c r="AK101" s="17">
        <f>IF(AN101=15,J101,0)</f>
        <v>0</v>
      </c>
      <c r="AL101" s="17">
        <f>IF(AN101=21,J101,0)</f>
        <v>0</v>
      </c>
      <c r="AN101" s="34">
        <v>21</v>
      </c>
      <c r="AO101" s="34">
        <f>G101*0.69801579778831</f>
        <v>0</v>
      </c>
      <c r="AP101" s="34">
        <f>G101*(1-0.69801579778831)</f>
        <v>0</v>
      </c>
      <c r="AQ101" s="29" t="s">
        <v>7</v>
      </c>
      <c r="AV101" s="34">
        <f>AW101+AX101</f>
        <v>0</v>
      </c>
      <c r="AW101" s="34">
        <f>F101*AO101</f>
        <v>0</v>
      </c>
      <c r="AX101" s="34">
        <f>F101*AP101</f>
        <v>0</v>
      </c>
      <c r="AY101" s="35" t="s">
        <v>496</v>
      </c>
      <c r="AZ101" s="35" t="s">
        <v>522</v>
      </c>
      <c r="BA101" s="26" t="s">
        <v>531</v>
      </c>
      <c r="BC101" s="34">
        <f>AW101+AX101</f>
        <v>0</v>
      </c>
      <c r="BD101" s="34">
        <f>G101/(100-BE101)*100</f>
        <v>0</v>
      </c>
      <c r="BE101" s="34">
        <v>0</v>
      </c>
      <c r="BF101" s="34">
        <f>L101</f>
        <v>0.9696</v>
      </c>
      <c r="BH101" s="17">
        <f>F101*AO101</f>
        <v>0</v>
      </c>
      <c r="BI101" s="17">
        <f>F101*AP101</f>
        <v>0</v>
      </c>
      <c r="BJ101" s="17">
        <f>F101*G101</f>
        <v>0</v>
      </c>
    </row>
    <row r="102" ht="12.75">
      <c r="D102" s="15" t="s">
        <v>339</v>
      </c>
    </row>
    <row r="103" spans="1:62" ht="12.75">
      <c r="A103" s="4" t="s">
        <v>63</v>
      </c>
      <c r="B103" s="4"/>
      <c r="C103" s="4" t="s">
        <v>181</v>
      </c>
      <c r="D103" s="4" t="s">
        <v>340</v>
      </c>
      <c r="E103" s="4" t="s">
        <v>446</v>
      </c>
      <c r="F103" s="17">
        <v>0.4</v>
      </c>
      <c r="G103" s="17"/>
      <c r="H103" s="17">
        <f>F103*AO103</f>
        <v>0</v>
      </c>
      <c r="I103" s="17">
        <f>F103*AP103</f>
        <v>0</v>
      </c>
      <c r="J103" s="17">
        <f>F103*G103</f>
        <v>0</v>
      </c>
      <c r="K103" s="17">
        <v>2.525</v>
      </c>
      <c r="L103" s="17">
        <f>F103*K103</f>
        <v>1.01</v>
      </c>
      <c r="M103" s="29"/>
      <c r="Z103" s="34">
        <f>IF(AQ103="5",BJ103,0)</f>
        <v>0</v>
      </c>
      <c r="AB103" s="34">
        <f>IF(AQ103="1",BH103,0)</f>
        <v>0</v>
      </c>
      <c r="AC103" s="34">
        <f>IF(AQ103="1",BI103,0)</f>
        <v>0</v>
      </c>
      <c r="AD103" s="34">
        <f>IF(AQ103="7",BH103,0)</f>
        <v>0</v>
      </c>
      <c r="AE103" s="34">
        <f>IF(AQ103="7",BI103,0)</f>
        <v>0</v>
      </c>
      <c r="AF103" s="34">
        <f>IF(AQ103="2",BH103,0)</f>
        <v>0</v>
      </c>
      <c r="AG103" s="34">
        <f>IF(AQ103="2",BI103,0)</f>
        <v>0</v>
      </c>
      <c r="AH103" s="34">
        <f>IF(AQ103="0",BJ103,0)</f>
        <v>0</v>
      </c>
      <c r="AI103" s="26"/>
      <c r="AJ103" s="17">
        <f>IF(AN103=0,J103,0)</f>
        <v>0</v>
      </c>
      <c r="AK103" s="17">
        <f>IF(AN103=15,J103,0)</f>
        <v>0</v>
      </c>
      <c r="AL103" s="17">
        <f>IF(AN103=21,J103,0)</f>
        <v>0</v>
      </c>
      <c r="AN103" s="34">
        <v>21</v>
      </c>
      <c r="AO103" s="34">
        <f>G103*0.704550231839258</f>
        <v>0</v>
      </c>
      <c r="AP103" s="34">
        <f>G103*(1-0.704550231839258)</f>
        <v>0</v>
      </c>
      <c r="AQ103" s="29" t="s">
        <v>7</v>
      </c>
      <c r="AV103" s="34">
        <f>AW103+AX103</f>
        <v>0</v>
      </c>
      <c r="AW103" s="34">
        <f>F103*AO103</f>
        <v>0</v>
      </c>
      <c r="AX103" s="34">
        <f>F103*AP103</f>
        <v>0</v>
      </c>
      <c r="AY103" s="35" t="s">
        <v>496</v>
      </c>
      <c r="AZ103" s="35" t="s">
        <v>522</v>
      </c>
      <c r="BA103" s="26" t="s">
        <v>531</v>
      </c>
      <c r="BC103" s="34">
        <f>AW103+AX103</f>
        <v>0</v>
      </c>
      <c r="BD103" s="34">
        <f>G103/(100-BE103)*100</f>
        <v>0</v>
      </c>
      <c r="BE103" s="34">
        <v>0</v>
      </c>
      <c r="BF103" s="34">
        <f>L103</f>
        <v>1.01</v>
      </c>
      <c r="BH103" s="17">
        <f>F103*AO103</f>
        <v>0</v>
      </c>
      <c r="BI103" s="17">
        <f>F103*AP103</f>
        <v>0</v>
      </c>
      <c r="BJ103" s="17">
        <f>F103*G103</f>
        <v>0</v>
      </c>
    </row>
    <row r="104" ht="12.75">
      <c r="D104" s="15" t="s">
        <v>339</v>
      </c>
    </row>
    <row r="105" spans="1:47" ht="12.75">
      <c r="A105" s="5"/>
      <c r="B105" s="13"/>
      <c r="C105" s="13" t="s">
        <v>70</v>
      </c>
      <c r="D105" s="13" t="s">
        <v>341</v>
      </c>
      <c r="E105" s="5" t="s">
        <v>6</v>
      </c>
      <c r="F105" s="5" t="s">
        <v>6</v>
      </c>
      <c r="G105" s="5" t="s">
        <v>6</v>
      </c>
      <c r="H105" s="37">
        <f>SUM(H106:H106)</f>
        <v>0</v>
      </c>
      <c r="I105" s="37">
        <f>SUM(I106:I106)</f>
        <v>0</v>
      </c>
      <c r="J105" s="37">
        <f>SUM(J106:J106)</f>
        <v>0</v>
      </c>
      <c r="K105" s="26"/>
      <c r="L105" s="37">
        <f>SUM(L106:L106)</f>
        <v>0.06166</v>
      </c>
      <c r="M105" s="26"/>
      <c r="AI105" s="26"/>
      <c r="AS105" s="37">
        <f>SUM(AJ106:AJ106)</f>
        <v>0</v>
      </c>
      <c r="AT105" s="37">
        <f>SUM(AK106:AK106)</f>
        <v>0</v>
      </c>
      <c r="AU105" s="37">
        <f>SUM(AL106:AL106)</f>
        <v>0</v>
      </c>
    </row>
    <row r="106" spans="1:62" ht="12.75">
      <c r="A106" s="4" t="s">
        <v>64</v>
      </c>
      <c r="B106" s="4"/>
      <c r="C106" s="4" t="s">
        <v>182</v>
      </c>
      <c r="D106" s="4" t="s">
        <v>342</v>
      </c>
      <c r="E106" s="4" t="s">
        <v>448</v>
      </c>
      <c r="F106" s="17">
        <v>2</v>
      </c>
      <c r="G106" s="17"/>
      <c r="H106" s="17">
        <f>F106*AO106</f>
        <v>0</v>
      </c>
      <c r="I106" s="17">
        <f>F106*AP106</f>
        <v>0</v>
      </c>
      <c r="J106" s="17">
        <f>F106*G106</f>
        <v>0</v>
      </c>
      <c r="K106" s="17">
        <v>0.03083</v>
      </c>
      <c r="L106" s="17">
        <f>F106*K106</f>
        <v>0.06166</v>
      </c>
      <c r="M106" s="29"/>
      <c r="Z106" s="34">
        <f>IF(AQ106="5",BJ106,0)</f>
        <v>0</v>
      </c>
      <c r="AB106" s="34">
        <f>IF(AQ106="1",BH106,0)</f>
        <v>0</v>
      </c>
      <c r="AC106" s="34">
        <f>IF(AQ106="1",BI106,0)</f>
        <v>0</v>
      </c>
      <c r="AD106" s="34">
        <f>IF(AQ106="7",BH106,0)</f>
        <v>0</v>
      </c>
      <c r="AE106" s="34">
        <f>IF(AQ106="7",BI106,0)</f>
        <v>0</v>
      </c>
      <c r="AF106" s="34">
        <f>IF(AQ106="2",BH106,0)</f>
        <v>0</v>
      </c>
      <c r="AG106" s="34">
        <f>IF(AQ106="2",BI106,0)</f>
        <v>0</v>
      </c>
      <c r="AH106" s="34">
        <f>IF(AQ106="0",BJ106,0)</f>
        <v>0</v>
      </c>
      <c r="AI106" s="26"/>
      <c r="AJ106" s="17">
        <f>IF(AN106=0,J106,0)</f>
        <v>0</v>
      </c>
      <c r="AK106" s="17">
        <f>IF(AN106=15,J106,0)</f>
        <v>0</v>
      </c>
      <c r="AL106" s="17">
        <f>IF(AN106=21,J106,0)</f>
        <v>0</v>
      </c>
      <c r="AN106" s="34">
        <v>21</v>
      </c>
      <c r="AO106" s="34">
        <f>G106*0.534739901258016</f>
        <v>0</v>
      </c>
      <c r="AP106" s="34">
        <f>G106*(1-0.534739901258016)</f>
        <v>0</v>
      </c>
      <c r="AQ106" s="29" t="s">
        <v>7</v>
      </c>
      <c r="AV106" s="34">
        <f>AW106+AX106</f>
        <v>0</v>
      </c>
      <c r="AW106" s="34">
        <f>F106*AO106</f>
        <v>0</v>
      </c>
      <c r="AX106" s="34">
        <f>F106*AP106</f>
        <v>0</v>
      </c>
      <c r="AY106" s="35" t="s">
        <v>497</v>
      </c>
      <c r="AZ106" s="35" t="s">
        <v>522</v>
      </c>
      <c r="BA106" s="26" t="s">
        <v>531</v>
      </c>
      <c r="BC106" s="34">
        <f>AW106+AX106</f>
        <v>0</v>
      </c>
      <c r="BD106" s="34">
        <f>G106/(100-BE106)*100</f>
        <v>0</v>
      </c>
      <c r="BE106" s="34">
        <v>0</v>
      </c>
      <c r="BF106" s="34">
        <f>L106</f>
        <v>0.06166</v>
      </c>
      <c r="BH106" s="17">
        <f>F106*AO106</f>
        <v>0</v>
      </c>
      <c r="BI106" s="17">
        <f>F106*AP106</f>
        <v>0</v>
      </c>
      <c r="BJ106" s="17">
        <f>F106*G106</f>
        <v>0</v>
      </c>
    </row>
    <row r="107" ht="12.75">
      <c r="D107" s="15" t="s">
        <v>343</v>
      </c>
    </row>
    <row r="108" spans="1:47" ht="12.75">
      <c r="A108" s="5"/>
      <c r="B108" s="13"/>
      <c r="C108" s="13" t="s">
        <v>183</v>
      </c>
      <c r="D108" s="13" t="s">
        <v>344</v>
      </c>
      <c r="E108" s="5" t="s">
        <v>6</v>
      </c>
      <c r="F108" s="5" t="s">
        <v>6</v>
      </c>
      <c r="G108" s="5" t="s">
        <v>6</v>
      </c>
      <c r="H108" s="37">
        <f>SUM(H109:H113)</f>
        <v>0</v>
      </c>
      <c r="I108" s="37">
        <f>SUM(I109:I113)</f>
        <v>0</v>
      </c>
      <c r="J108" s="37">
        <f>SUM(J109:J113)</f>
        <v>0</v>
      </c>
      <c r="K108" s="26"/>
      <c r="L108" s="37">
        <f>SUM(L109:L113)</f>
        <v>0.11142</v>
      </c>
      <c r="M108" s="26"/>
      <c r="AI108" s="26"/>
      <c r="AS108" s="37">
        <f>SUM(AJ109:AJ113)</f>
        <v>0</v>
      </c>
      <c r="AT108" s="37">
        <f>SUM(AK109:AK113)</f>
        <v>0</v>
      </c>
      <c r="AU108" s="37">
        <f>SUM(AL109:AL113)</f>
        <v>0</v>
      </c>
    </row>
    <row r="109" spans="1:62" ht="12.75">
      <c r="A109" s="4" t="s">
        <v>65</v>
      </c>
      <c r="B109" s="4"/>
      <c r="C109" s="4" t="s">
        <v>184</v>
      </c>
      <c r="D109" s="4" t="s">
        <v>345</v>
      </c>
      <c r="E109" s="4" t="s">
        <v>442</v>
      </c>
      <c r="F109" s="17">
        <v>9</v>
      </c>
      <c r="G109" s="17"/>
      <c r="H109" s="17">
        <f>F109*AO109</f>
        <v>0</v>
      </c>
      <c r="I109" s="17">
        <f>F109*AP109</f>
        <v>0</v>
      </c>
      <c r="J109" s="17">
        <f>F109*G109</f>
        <v>0</v>
      </c>
      <c r="K109" s="17">
        <v>0.00042</v>
      </c>
      <c r="L109" s="17">
        <f>F109*K109</f>
        <v>0.0037800000000000004</v>
      </c>
      <c r="M109" s="29"/>
      <c r="Z109" s="34">
        <f>IF(AQ109="5",BJ109,0)</f>
        <v>0</v>
      </c>
      <c r="AB109" s="34">
        <f>IF(AQ109="1",BH109,0)</f>
        <v>0</v>
      </c>
      <c r="AC109" s="34">
        <f>IF(AQ109="1",BI109,0)</f>
        <v>0</v>
      </c>
      <c r="AD109" s="34">
        <f>IF(AQ109="7",BH109,0)</f>
        <v>0</v>
      </c>
      <c r="AE109" s="34">
        <f>IF(AQ109="7",BI109,0)</f>
        <v>0</v>
      </c>
      <c r="AF109" s="34">
        <f>IF(AQ109="2",BH109,0)</f>
        <v>0</v>
      </c>
      <c r="AG109" s="34">
        <f>IF(AQ109="2",BI109,0)</f>
        <v>0</v>
      </c>
      <c r="AH109" s="34">
        <f>IF(AQ109="0",BJ109,0)</f>
        <v>0</v>
      </c>
      <c r="AI109" s="26"/>
      <c r="AJ109" s="17">
        <f>IF(AN109=0,J109,0)</f>
        <v>0</v>
      </c>
      <c r="AK109" s="17">
        <f>IF(AN109=15,J109,0)</f>
        <v>0</v>
      </c>
      <c r="AL109" s="17">
        <f>IF(AN109=21,J109,0)</f>
        <v>0</v>
      </c>
      <c r="AN109" s="34">
        <v>21</v>
      </c>
      <c r="AO109" s="34">
        <f>G109*0.50210970464135</f>
        <v>0</v>
      </c>
      <c r="AP109" s="34">
        <f>G109*(1-0.50210970464135)</f>
        <v>0</v>
      </c>
      <c r="AQ109" s="29" t="s">
        <v>13</v>
      </c>
      <c r="AV109" s="34">
        <f>AW109+AX109</f>
        <v>0</v>
      </c>
      <c r="AW109" s="34">
        <f>F109*AO109</f>
        <v>0</v>
      </c>
      <c r="AX109" s="34">
        <f>F109*AP109</f>
        <v>0</v>
      </c>
      <c r="AY109" s="35" t="s">
        <v>498</v>
      </c>
      <c r="AZ109" s="35" t="s">
        <v>523</v>
      </c>
      <c r="BA109" s="26" t="s">
        <v>531</v>
      </c>
      <c r="BC109" s="34">
        <f>AW109+AX109</f>
        <v>0</v>
      </c>
      <c r="BD109" s="34">
        <f>G109/(100-BE109)*100</f>
        <v>0</v>
      </c>
      <c r="BE109" s="34">
        <v>0</v>
      </c>
      <c r="BF109" s="34">
        <f>L109</f>
        <v>0.0037800000000000004</v>
      </c>
      <c r="BH109" s="17">
        <f>F109*AO109</f>
        <v>0</v>
      </c>
      <c r="BI109" s="17">
        <f>F109*AP109</f>
        <v>0</v>
      </c>
      <c r="BJ109" s="17">
        <f>F109*G109</f>
        <v>0</v>
      </c>
    </row>
    <row r="110" ht="12.75">
      <c r="D110" s="15" t="s">
        <v>346</v>
      </c>
    </row>
    <row r="111" spans="1:62" ht="12.75">
      <c r="A111" s="4" t="s">
        <v>66</v>
      </c>
      <c r="B111" s="4"/>
      <c r="C111" s="4" t="s">
        <v>185</v>
      </c>
      <c r="D111" s="4" t="s">
        <v>347</v>
      </c>
      <c r="E111" s="4" t="s">
        <v>442</v>
      </c>
      <c r="F111" s="17">
        <v>9</v>
      </c>
      <c r="G111" s="17"/>
      <c r="H111" s="17">
        <f>F111*AO111</f>
        <v>0</v>
      </c>
      <c r="I111" s="17">
        <f>F111*AP111</f>
        <v>0</v>
      </c>
      <c r="J111" s="17">
        <f>F111*G111</f>
        <v>0</v>
      </c>
      <c r="K111" s="17">
        <v>0.01179</v>
      </c>
      <c r="L111" s="17">
        <f>F111*K111</f>
        <v>0.10611</v>
      </c>
      <c r="M111" s="29"/>
      <c r="Z111" s="34">
        <f>IF(AQ111="5",BJ111,0)</f>
        <v>0</v>
      </c>
      <c r="AB111" s="34">
        <f>IF(AQ111="1",BH111,0)</f>
        <v>0</v>
      </c>
      <c r="AC111" s="34">
        <f>IF(AQ111="1",BI111,0)</f>
        <v>0</v>
      </c>
      <c r="AD111" s="34">
        <f>IF(AQ111="7",BH111,0)</f>
        <v>0</v>
      </c>
      <c r="AE111" s="34">
        <f>IF(AQ111="7",BI111,0)</f>
        <v>0</v>
      </c>
      <c r="AF111" s="34">
        <f>IF(AQ111="2",BH111,0)</f>
        <v>0</v>
      </c>
      <c r="AG111" s="34">
        <f>IF(AQ111="2",BI111,0)</f>
        <v>0</v>
      </c>
      <c r="AH111" s="34">
        <f>IF(AQ111="0",BJ111,0)</f>
        <v>0</v>
      </c>
      <c r="AI111" s="26"/>
      <c r="AJ111" s="17">
        <f>IF(AN111=0,J111,0)</f>
        <v>0</v>
      </c>
      <c r="AK111" s="17">
        <f>IF(AN111=15,J111,0)</f>
        <v>0</v>
      </c>
      <c r="AL111" s="17">
        <f>IF(AN111=21,J111,0)</f>
        <v>0</v>
      </c>
      <c r="AN111" s="34">
        <v>21</v>
      </c>
      <c r="AO111" s="34">
        <f>G111*0.516939890710382</f>
        <v>0</v>
      </c>
      <c r="AP111" s="34">
        <f>G111*(1-0.516939890710382)</f>
        <v>0</v>
      </c>
      <c r="AQ111" s="29" t="s">
        <v>13</v>
      </c>
      <c r="AV111" s="34">
        <f>AW111+AX111</f>
        <v>0</v>
      </c>
      <c r="AW111" s="34">
        <f>F111*AO111</f>
        <v>0</v>
      </c>
      <c r="AX111" s="34">
        <f>F111*AP111</f>
        <v>0</v>
      </c>
      <c r="AY111" s="35" t="s">
        <v>498</v>
      </c>
      <c r="AZ111" s="35" t="s">
        <v>523</v>
      </c>
      <c r="BA111" s="26" t="s">
        <v>531</v>
      </c>
      <c r="BC111" s="34">
        <f>AW111+AX111</f>
        <v>0</v>
      </c>
      <c r="BD111" s="34">
        <f>G111/(100-BE111)*100</f>
        <v>0</v>
      </c>
      <c r="BE111" s="34">
        <v>0</v>
      </c>
      <c r="BF111" s="34">
        <f>L111</f>
        <v>0.10611</v>
      </c>
      <c r="BH111" s="17">
        <f>F111*AO111</f>
        <v>0</v>
      </c>
      <c r="BI111" s="17">
        <f>F111*AP111</f>
        <v>0</v>
      </c>
      <c r="BJ111" s="17">
        <f>F111*G111</f>
        <v>0</v>
      </c>
    </row>
    <row r="112" ht="12.75">
      <c r="D112" s="15" t="s">
        <v>348</v>
      </c>
    </row>
    <row r="113" spans="1:62" ht="12.75">
      <c r="A113" s="4" t="s">
        <v>67</v>
      </c>
      <c r="B113" s="4"/>
      <c r="C113" s="4" t="s">
        <v>186</v>
      </c>
      <c r="D113" s="4" t="s">
        <v>349</v>
      </c>
      <c r="E113" s="4" t="s">
        <v>442</v>
      </c>
      <c r="F113" s="17">
        <v>9</v>
      </c>
      <c r="G113" s="17"/>
      <c r="H113" s="17">
        <f>F113*AO113</f>
        <v>0</v>
      </c>
      <c r="I113" s="17">
        <f>F113*AP113</f>
        <v>0</v>
      </c>
      <c r="J113" s="17">
        <f>F113*G113</f>
        <v>0</v>
      </c>
      <c r="K113" s="17">
        <v>0.00017</v>
      </c>
      <c r="L113" s="17">
        <f>F113*K113</f>
        <v>0.0015300000000000001</v>
      </c>
      <c r="M113" s="29"/>
      <c r="Z113" s="34">
        <f>IF(AQ113="5",BJ113,0)</f>
        <v>0</v>
      </c>
      <c r="AB113" s="34">
        <f>IF(AQ113="1",BH113,0)</f>
        <v>0</v>
      </c>
      <c r="AC113" s="34">
        <f>IF(AQ113="1",BI113,0)</f>
        <v>0</v>
      </c>
      <c r="AD113" s="34">
        <f>IF(AQ113="7",BH113,0)</f>
        <v>0</v>
      </c>
      <c r="AE113" s="34">
        <f>IF(AQ113="7",BI113,0)</f>
        <v>0</v>
      </c>
      <c r="AF113" s="34">
        <f>IF(AQ113="2",BH113,0)</f>
        <v>0</v>
      </c>
      <c r="AG113" s="34">
        <f>IF(AQ113="2",BI113,0)</f>
        <v>0</v>
      </c>
      <c r="AH113" s="34">
        <f>IF(AQ113="0",BJ113,0)</f>
        <v>0</v>
      </c>
      <c r="AI113" s="26"/>
      <c r="AJ113" s="17">
        <f>IF(AN113=0,J113,0)</f>
        <v>0</v>
      </c>
      <c r="AK113" s="17">
        <f>IF(AN113=15,J113,0)</f>
        <v>0</v>
      </c>
      <c r="AL113" s="17">
        <f>IF(AN113=21,J113,0)</f>
        <v>0</v>
      </c>
      <c r="AN113" s="34">
        <v>21</v>
      </c>
      <c r="AO113" s="34">
        <f>G113*0.185321100917431</f>
        <v>0</v>
      </c>
      <c r="AP113" s="34">
        <f>G113*(1-0.185321100917431)</f>
        <v>0</v>
      </c>
      <c r="AQ113" s="29" t="s">
        <v>13</v>
      </c>
      <c r="AV113" s="34">
        <f>AW113+AX113</f>
        <v>0</v>
      </c>
      <c r="AW113" s="34">
        <f>F113*AO113</f>
        <v>0</v>
      </c>
      <c r="AX113" s="34">
        <f>F113*AP113</f>
        <v>0</v>
      </c>
      <c r="AY113" s="35" t="s">
        <v>498</v>
      </c>
      <c r="AZ113" s="35" t="s">
        <v>523</v>
      </c>
      <c r="BA113" s="26" t="s">
        <v>531</v>
      </c>
      <c r="BC113" s="34">
        <f>AW113+AX113</f>
        <v>0</v>
      </c>
      <c r="BD113" s="34">
        <f>G113/(100-BE113)*100</f>
        <v>0</v>
      </c>
      <c r="BE113" s="34">
        <v>0</v>
      </c>
      <c r="BF113" s="34">
        <f>L113</f>
        <v>0.0015300000000000001</v>
      </c>
      <c r="BH113" s="17">
        <f>F113*AO113</f>
        <v>0</v>
      </c>
      <c r="BI113" s="17">
        <f>F113*AP113</f>
        <v>0</v>
      </c>
      <c r="BJ113" s="17">
        <f>F113*G113</f>
        <v>0</v>
      </c>
    </row>
    <row r="114" ht="12.75">
      <c r="D114" s="15" t="s">
        <v>350</v>
      </c>
    </row>
    <row r="115" spans="1:47" ht="12.75">
      <c r="A115" s="5"/>
      <c r="B115" s="13"/>
      <c r="C115" s="13" t="s">
        <v>187</v>
      </c>
      <c r="D115" s="13" t="s">
        <v>351</v>
      </c>
      <c r="E115" s="5" t="s">
        <v>6</v>
      </c>
      <c r="F115" s="5" t="s">
        <v>6</v>
      </c>
      <c r="G115" s="5" t="s">
        <v>6</v>
      </c>
      <c r="H115" s="37">
        <f>SUM(H116:H116)</f>
        <v>0</v>
      </c>
      <c r="I115" s="37">
        <f>SUM(I116:I116)</f>
        <v>0</v>
      </c>
      <c r="J115" s="37">
        <f>SUM(J116:J116)</f>
        <v>0</v>
      </c>
      <c r="K115" s="26"/>
      <c r="L115" s="37">
        <f>SUM(L116:L116)</f>
        <v>0.00768</v>
      </c>
      <c r="M115" s="26"/>
      <c r="AI115" s="26"/>
      <c r="AS115" s="37">
        <f>SUM(AJ116:AJ116)</f>
        <v>0</v>
      </c>
      <c r="AT115" s="37">
        <f>SUM(AK116:AK116)</f>
        <v>0</v>
      </c>
      <c r="AU115" s="37">
        <f>SUM(AL116:AL116)</f>
        <v>0</v>
      </c>
    </row>
    <row r="116" spans="1:62" ht="12.75">
      <c r="A116" s="4" t="s">
        <v>68</v>
      </c>
      <c r="B116" s="4"/>
      <c r="C116" s="4" t="s">
        <v>188</v>
      </c>
      <c r="D116" s="4" t="s">
        <v>352</v>
      </c>
      <c r="E116" s="4" t="s">
        <v>442</v>
      </c>
      <c r="F116" s="17">
        <v>2.56</v>
      </c>
      <c r="G116" s="17"/>
      <c r="H116" s="17">
        <f>F116*AO116</f>
        <v>0</v>
      </c>
      <c r="I116" s="17">
        <f>F116*AP116</f>
        <v>0</v>
      </c>
      <c r="J116" s="17">
        <f>F116*G116</f>
        <v>0</v>
      </c>
      <c r="K116" s="17">
        <v>0.003</v>
      </c>
      <c r="L116" s="17">
        <f>F116*K116</f>
        <v>0.00768</v>
      </c>
      <c r="M116" s="29"/>
      <c r="Z116" s="34">
        <f>IF(AQ116="5",BJ116,0)</f>
        <v>0</v>
      </c>
      <c r="AB116" s="34">
        <f>IF(AQ116="1",BH116,0)</f>
        <v>0</v>
      </c>
      <c r="AC116" s="34">
        <f>IF(AQ116="1",BI116,0)</f>
        <v>0</v>
      </c>
      <c r="AD116" s="34">
        <f>IF(AQ116="7",BH116,0)</f>
        <v>0</v>
      </c>
      <c r="AE116" s="34">
        <f>IF(AQ116="7",BI116,0)</f>
        <v>0</v>
      </c>
      <c r="AF116" s="34">
        <f>IF(AQ116="2",BH116,0)</f>
        <v>0</v>
      </c>
      <c r="AG116" s="34">
        <f>IF(AQ116="2",BI116,0)</f>
        <v>0</v>
      </c>
      <c r="AH116" s="34">
        <f>IF(AQ116="0",BJ116,0)</f>
        <v>0</v>
      </c>
      <c r="AI116" s="26"/>
      <c r="AJ116" s="17">
        <f>IF(AN116=0,J116,0)</f>
        <v>0</v>
      </c>
      <c r="AK116" s="17">
        <f>IF(AN116=15,J116,0)</f>
        <v>0</v>
      </c>
      <c r="AL116" s="17">
        <f>IF(AN116=21,J116,0)</f>
        <v>0</v>
      </c>
      <c r="AN116" s="34">
        <v>21</v>
      </c>
      <c r="AO116" s="34">
        <f>G116*0.0661964836830829</f>
        <v>0</v>
      </c>
      <c r="AP116" s="34">
        <f>G116*(1-0.0661964836830829)</f>
        <v>0</v>
      </c>
      <c r="AQ116" s="29" t="s">
        <v>13</v>
      </c>
      <c r="AV116" s="34">
        <f>AW116+AX116</f>
        <v>0</v>
      </c>
      <c r="AW116" s="34">
        <f>F116*AO116</f>
        <v>0</v>
      </c>
      <c r="AX116" s="34">
        <f>F116*AP116</f>
        <v>0</v>
      </c>
      <c r="AY116" s="35" t="s">
        <v>499</v>
      </c>
      <c r="AZ116" s="35" t="s">
        <v>523</v>
      </c>
      <c r="BA116" s="26" t="s">
        <v>531</v>
      </c>
      <c r="BC116" s="34">
        <f>AW116+AX116</f>
        <v>0</v>
      </c>
      <c r="BD116" s="34">
        <f>G116/(100-BE116)*100</f>
        <v>0</v>
      </c>
      <c r="BE116" s="34">
        <v>0</v>
      </c>
      <c r="BF116" s="34">
        <f>L116</f>
        <v>0.00768</v>
      </c>
      <c r="BH116" s="17">
        <f>F116*AO116</f>
        <v>0</v>
      </c>
      <c r="BI116" s="17">
        <f>F116*AP116</f>
        <v>0</v>
      </c>
      <c r="BJ116" s="17">
        <f>F116*G116</f>
        <v>0</v>
      </c>
    </row>
    <row r="117" spans="1:47" ht="12.75">
      <c r="A117" s="5"/>
      <c r="B117" s="13"/>
      <c r="C117" s="13" t="s">
        <v>189</v>
      </c>
      <c r="D117" s="13" t="s">
        <v>353</v>
      </c>
      <c r="E117" s="5" t="s">
        <v>6</v>
      </c>
      <c r="F117" s="5" t="s">
        <v>6</v>
      </c>
      <c r="G117" s="5" t="s">
        <v>6</v>
      </c>
      <c r="H117" s="37">
        <f>SUM(H118:H118)</f>
        <v>0</v>
      </c>
      <c r="I117" s="37">
        <f>SUM(I118:I118)</f>
        <v>0</v>
      </c>
      <c r="J117" s="37">
        <f>SUM(J118:J118)</f>
        <v>0</v>
      </c>
      <c r="K117" s="26"/>
      <c r="L117" s="37">
        <f>SUM(L118:L118)</f>
        <v>0.0171</v>
      </c>
      <c r="M117" s="26"/>
      <c r="AI117" s="26"/>
      <c r="AS117" s="37">
        <f>SUM(AJ118:AJ118)</f>
        <v>0</v>
      </c>
      <c r="AT117" s="37">
        <f>SUM(AK118:AK118)</f>
        <v>0</v>
      </c>
      <c r="AU117" s="37">
        <f>SUM(AL118:AL118)</f>
        <v>0</v>
      </c>
    </row>
    <row r="118" spans="1:62" ht="12.75">
      <c r="A118" s="4" t="s">
        <v>69</v>
      </c>
      <c r="B118" s="4"/>
      <c r="C118" s="4" t="s">
        <v>190</v>
      </c>
      <c r="D118" s="4" t="s">
        <v>354</v>
      </c>
      <c r="E118" s="4" t="s">
        <v>443</v>
      </c>
      <c r="F118" s="17">
        <v>6</v>
      </c>
      <c r="G118" s="17"/>
      <c r="H118" s="17">
        <f>F118*AO118</f>
        <v>0</v>
      </c>
      <c r="I118" s="17">
        <f>F118*AP118</f>
        <v>0</v>
      </c>
      <c r="J118" s="17">
        <f>F118*G118</f>
        <v>0</v>
      </c>
      <c r="K118" s="17">
        <v>0.00285</v>
      </c>
      <c r="L118" s="17">
        <f>F118*K118</f>
        <v>0.0171</v>
      </c>
      <c r="M118" s="29"/>
      <c r="Z118" s="34">
        <f>IF(AQ118="5",BJ118,0)</f>
        <v>0</v>
      </c>
      <c r="AB118" s="34">
        <f>IF(AQ118="1",BH118,0)</f>
        <v>0</v>
      </c>
      <c r="AC118" s="34">
        <f>IF(AQ118="1",BI118,0)</f>
        <v>0</v>
      </c>
      <c r="AD118" s="34">
        <f>IF(AQ118="7",BH118,0)</f>
        <v>0</v>
      </c>
      <c r="AE118" s="34">
        <f>IF(AQ118="7",BI118,0)</f>
        <v>0</v>
      </c>
      <c r="AF118" s="34">
        <f>IF(AQ118="2",BH118,0)</f>
        <v>0</v>
      </c>
      <c r="AG118" s="34">
        <f>IF(AQ118="2",BI118,0)</f>
        <v>0</v>
      </c>
      <c r="AH118" s="34">
        <f>IF(AQ118="0",BJ118,0)</f>
        <v>0</v>
      </c>
      <c r="AI118" s="26"/>
      <c r="AJ118" s="17">
        <f>IF(AN118=0,J118,0)</f>
        <v>0</v>
      </c>
      <c r="AK118" s="17">
        <f>IF(AN118=15,J118,0)</f>
        <v>0</v>
      </c>
      <c r="AL118" s="17">
        <f>IF(AN118=21,J118,0)</f>
        <v>0</v>
      </c>
      <c r="AN118" s="34">
        <v>21</v>
      </c>
      <c r="AO118" s="34">
        <f>G118*0.524315962486706</f>
        <v>0</v>
      </c>
      <c r="AP118" s="34">
        <f>G118*(1-0.524315962486706)</f>
        <v>0</v>
      </c>
      <c r="AQ118" s="29" t="s">
        <v>13</v>
      </c>
      <c r="AV118" s="34">
        <f>AW118+AX118</f>
        <v>0</v>
      </c>
      <c r="AW118" s="34">
        <f>F118*AO118</f>
        <v>0</v>
      </c>
      <c r="AX118" s="34">
        <f>F118*AP118</f>
        <v>0</v>
      </c>
      <c r="AY118" s="35" t="s">
        <v>500</v>
      </c>
      <c r="AZ118" s="35" t="s">
        <v>524</v>
      </c>
      <c r="BA118" s="26" t="s">
        <v>531</v>
      </c>
      <c r="BC118" s="34">
        <f>AW118+AX118</f>
        <v>0</v>
      </c>
      <c r="BD118" s="34">
        <f>G118/(100-BE118)*100</f>
        <v>0</v>
      </c>
      <c r="BE118" s="34">
        <v>0</v>
      </c>
      <c r="BF118" s="34">
        <f>L118</f>
        <v>0.0171</v>
      </c>
      <c r="BH118" s="17">
        <f>F118*AO118</f>
        <v>0</v>
      </c>
      <c r="BI118" s="17">
        <f>F118*AP118</f>
        <v>0</v>
      </c>
      <c r="BJ118" s="17">
        <f>F118*G118</f>
        <v>0</v>
      </c>
    </row>
    <row r="119" spans="1:47" ht="12.75">
      <c r="A119" s="5"/>
      <c r="B119" s="13"/>
      <c r="C119" s="13" t="s">
        <v>191</v>
      </c>
      <c r="D119" s="13" t="s">
        <v>355</v>
      </c>
      <c r="E119" s="5" t="s">
        <v>6</v>
      </c>
      <c r="F119" s="5" t="s">
        <v>6</v>
      </c>
      <c r="G119" s="5" t="s">
        <v>6</v>
      </c>
      <c r="H119" s="37">
        <f>SUM(H120:H124)</f>
        <v>0</v>
      </c>
      <c r="I119" s="37">
        <f>SUM(I120:I124)</f>
        <v>0</v>
      </c>
      <c r="J119" s="37">
        <f>SUM(J120:J124)</f>
        <v>0</v>
      </c>
      <c r="K119" s="26"/>
      <c r="L119" s="37">
        <f>SUM(L120:L124)</f>
        <v>0</v>
      </c>
      <c r="M119" s="26"/>
      <c r="AI119" s="26"/>
      <c r="AS119" s="37">
        <f>SUM(AJ120:AJ124)</f>
        <v>0</v>
      </c>
      <c r="AT119" s="37">
        <f>SUM(AK120:AK124)</f>
        <v>0</v>
      </c>
      <c r="AU119" s="37">
        <f>SUM(AL120:AL124)</f>
        <v>0</v>
      </c>
    </row>
    <row r="120" spans="1:62" ht="12.75">
      <c r="A120" s="4" t="s">
        <v>70</v>
      </c>
      <c r="B120" s="4"/>
      <c r="C120" s="4" t="s">
        <v>192</v>
      </c>
      <c r="D120" s="4" t="s">
        <v>356</v>
      </c>
      <c r="E120" s="4" t="s">
        <v>440</v>
      </c>
      <c r="F120" s="17">
        <v>1</v>
      </c>
      <c r="G120" s="17"/>
      <c r="H120" s="17">
        <f>F120*AO120</f>
        <v>0</v>
      </c>
      <c r="I120" s="17">
        <f>F120*AP120</f>
        <v>0</v>
      </c>
      <c r="J120" s="17">
        <f>F120*G120</f>
        <v>0</v>
      </c>
      <c r="K120" s="17">
        <v>0</v>
      </c>
      <c r="L120" s="17">
        <f>F120*K120</f>
        <v>0</v>
      </c>
      <c r="M120" s="29"/>
      <c r="Z120" s="34">
        <f>IF(AQ120="5",BJ120,0)</f>
        <v>0</v>
      </c>
      <c r="AB120" s="34">
        <f>IF(AQ120="1",BH120,0)</f>
        <v>0</v>
      </c>
      <c r="AC120" s="34">
        <f>IF(AQ120="1",BI120,0)</f>
        <v>0</v>
      </c>
      <c r="AD120" s="34">
        <f>IF(AQ120="7",BH120,0)</f>
        <v>0</v>
      </c>
      <c r="AE120" s="34">
        <f>IF(AQ120="7",BI120,0)</f>
        <v>0</v>
      </c>
      <c r="AF120" s="34">
        <f>IF(AQ120="2",BH120,0)</f>
        <v>0</v>
      </c>
      <c r="AG120" s="34">
        <f>IF(AQ120="2",BI120,0)</f>
        <v>0</v>
      </c>
      <c r="AH120" s="34">
        <f>IF(AQ120="0",BJ120,0)</f>
        <v>0</v>
      </c>
      <c r="AI120" s="26"/>
      <c r="AJ120" s="17">
        <f>IF(AN120=0,J120,0)</f>
        <v>0</v>
      </c>
      <c r="AK120" s="17">
        <f>IF(AN120=15,J120,0)</f>
        <v>0</v>
      </c>
      <c r="AL120" s="17">
        <f>IF(AN120=21,J120,0)</f>
        <v>0</v>
      </c>
      <c r="AN120" s="34">
        <v>21</v>
      </c>
      <c r="AO120" s="34">
        <f>G120*0</f>
        <v>0</v>
      </c>
      <c r="AP120" s="34">
        <f>G120*(1-0)</f>
        <v>0</v>
      </c>
      <c r="AQ120" s="29" t="s">
        <v>13</v>
      </c>
      <c r="AV120" s="34">
        <f>AW120+AX120</f>
        <v>0</v>
      </c>
      <c r="AW120" s="34">
        <f>F120*AO120</f>
        <v>0</v>
      </c>
      <c r="AX120" s="34">
        <f>F120*AP120</f>
        <v>0</v>
      </c>
      <c r="AY120" s="35" t="s">
        <v>501</v>
      </c>
      <c r="AZ120" s="35" t="s">
        <v>525</v>
      </c>
      <c r="BA120" s="26" t="s">
        <v>531</v>
      </c>
      <c r="BC120" s="34">
        <f>AW120+AX120</f>
        <v>0</v>
      </c>
      <c r="BD120" s="34">
        <f>G120/(100-BE120)*100</f>
        <v>0</v>
      </c>
      <c r="BE120" s="34">
        <v>0</v>
      </c>
      <c r="BF120" s="34">
        <f>L120</f>
        <v>0</v>
      </c>
      <c r="BH120" s="17">
        <f>F120*AO120</f>
        <v>0</v>
      </c>
      <c r="BI120" s="17">
        <f>F120*AP120</f>
        <v>0</v>
      </c>
      <c r="BJ120" s="17">
        <f>F120*G120</f>
        <v>0</v>
      </c>
    </row>
    <row r="121" spans="1:62" ht="12.75">
      <c r="A121" s="4" t="s">
        <v>71</v>
      </c>
      <c r="B121" s="4"/>
      <c r="C121" s="4" t="s">
        <v>192</v>
      </c>
      <c r="D121" s="4" t="s">
        <v>357</v>
      </c>
      <c r="E121" s="4" t="s">
        <v>440</v>
      </c>
      <c r="F121" s="17">
        <v>1</v>
      </c>
      <c r="G121" s="17"/>
      <c r="H121" s="17">
        <f>F121*AO121</f>
        <v>0</v>
      </c>
      <c r="I121" s="17">
        <f>F121*AP121</f>
        <v>0</v>
      </c>
      <c r="J121" s="17">
        <f>F121*G121</f>
        <v>0</v>
      </c>
      <c r="K121" s="17">
        <v>0</v>
      </c>
      <c r="L121" s="17">
        <f>F121*K121</f>
        <v>0</v>
      </c>
      <c r="M121" s="29"/>
      <c r="Z121" s="34">
        <f>IF(AQ121="5",BJ121,0)</f>
        <v>0</v>
      </c>
      <c r="AB121" s="34">
        <f>IF(AQ121="1",BH121,0)</f>
        <v>0</v>
      </c>
      <c r="AC121" s="34">
        <f>IF(AQ121="1",BI121,0)</f>
        <v>0</v>
      </c>
      <c r="AD121" s="34">
        <f>IF(AQ121="7",BH121,0)</f>
        <v>0</v>
      </c>
      <c r="AE121" s="34">
        <f>IF(AQ121="7",BI121,0)</f>
        <v>0</v>
      </c>
      <c r="AF121" s="34">
        <f>IF(AQ121="2",BH121,0)</f>
        <v>0</v>
      </c>
      <c r="AG121" s="34">
        <f>IF(AQ121="2",BI121,0)</f>
        <v>0</v>
      </c>
      <c r="AH121" s="34">
        <f>IF(AQ121="0",BJ121,0)</f>
        <v>0</v>
      </c>
      <c r="AI121" s="26"/>
      <c r="AJ121" s="17">
        <f>IF(AN121=0,J121,0)</f>
        <v>0</v>
      </c>
      <c r="AK121" s="17">
        <f>IF(AN121=15,J121,0)</f>
        <v>0</v>
      </c>
      <c r="AL121" s="17">
        <f>IF(AN121=21,J121,0)</f>
        <v>0</v>
      </c>
      <c r="AN121" s="34">
        <v>21</v>
      </c>
      <c r="AO121" s="34">
        <f>G121*0</f>
        <v>0</v>
      </c>
      <c r="AP121" s="34">
        <f>G121*(1-0)</f>
        <v>0</v>
      </c>
      <c r="AQ121" s="29" t="s">
        <v>13</v>
      </c>
      <c r="AV121" s="34">
        <f>AW121+AX121</f>
        <v>0</v>
      </c>
      <c r="AW121" s="34">
        <f>F121*AO121</f>
        <v>0</v>
      </c>
      <c r="AX121" s="34">
        <f>F121*AP121</f>
        <v>0</v>
      </c>
      <c r="AY121" s="35" t="s">
        <v>501</v>
      </c>
      <c r="AZ121" s="35" t="s">
        <v>525</v>
      </c>
      <c r="BA121" s="26" t="s">
        <v>531</v>
      </c>
      <c r="BC121" s="34">
        <f>AW121+AX121</f>
        <v>0</v>
      </c>
      <c r="BD121" s="34">
        <f>G121/(100-BE121)*100</f>
        <v>0</v>
      </c>
      <c r="BE121" s="34">
        <v>0</v>
      </c>
      <c r="BF121" s="34">
        <f>L121</f>
        <v>0</v>
      </c>
      <c r="BH121" s="17">
        <f>F121*AO121</f>
        <v>0</v>
      </c>
      <c r="BI121" s="17">
        <f>F121*AP121</f>
        <v>0</v>
      </c>
      <c r="BJ121" s="17">
        <f>F121*G121</f>
        <v>0</v>
      </c>
    </row>
    <row r="122" spans="1:62" ht="12.75">
      <c r="A122" s="4" t="s">
        <v>72</v>
      </c>
      <c r="B122" s="4"/>
      <c r="C122" s="4" t="s">
        <v>192</v>
      </c>
      <c r="D122" s="4" t="s">
        <v>358</v>
      </c>
      <c r="E122" s="4" t="s">
        <v>440</v>
      </c>
      <c r="F122" s="17">
        <v>1</v>
      </c>
      <c r="G122" s="17"/>
      <c r="H122" s="17">
        <f>F122*AO122</f>
        <v>0</v>
      </c>
      <c r="I122" s="17">
        <f>F122*AP122</f>
        <v>0</v>
      </c>
      <c r="J122" s="17">
        <f>F122*G122</f>
        <v>0</v>
      </c>
      <c r="K122" s="17">
        <v>0</v>
      </c>
      <c r="L122" s="17">
        <f>F122*K122</f>
        <v>0</v>
      </c>
      <c r="M122" s="29"/>
      <c r="Z122" s="34">
        <f>IF(AQ122="5",BJ122,0)</f>
        <v>0</v>
      </c>
      <c r="AB122" s="34">
        <f>IF(AQ122="1",BH122,0)</f>
        <v>0</v>
      </c>
      <c r="AC122" s="34">
        <f>IF(AQ122="1",BI122,0)</f>
        <v>0</v>
      </c>
      <c r="AD122" s="34">
        <f>IF(AQ122="7",BH122,0)</f>
        <v>0</v>
      </c>
      <c r="AE122" s="34">
        <f>IF(AQ122="7",BI122,0)</f>
        <v>0</v>
      </c>
      <c r="AF122" s="34">
        <f>IF(AQ122="2",BH122,0)</f>
        <v>0</v>
      </c>
      <c r="AG122" s="34">
        <f>IF(AQ122="2",BI122,0)</f>
        <v>0</v>
      </c>
      <c r="AH122" s="34">
        <f>IF(AQ122="0",BJ122,0)</f>
        <v>0</v>
      </c>
      <c r="AI122" s="26"/>
      <c r="AJ122" s="17">
        <f>IF(AN122=0,J122,0)</f>
        <v>0</v>
      </c>
      <c r="AK122" s="17">
        <f>IF(AN122=15,J122,0)</f>
        <v>0</v>
      </c>
      <c r="AL122" s="17">
        <f>IF(AN122=21,J122,0)</f>
        <v>0</v>
      </c>
      <c r="AN122" s="34">
        <v>21</v>
      </c>
      <c r="AO122" s="34">
        <f>G122*0</f>
        <v>0</v>
      </c>
      <c r="AP122" s="34">
        <f>G122*(1-0)</f>
        <v>0</v>
      </c>
      <c r="AQ122" s="29" t="s">
        <v>13</v>
      </c>
      <c r="AV122" s="34">
        <f>AW122+AX122</f>
        <v>0</v>
      </c>
      <c r="AW122" s="34">
        <f>F122*AO122</f>
        <v>0</v>
      </c>
      <c r="AX122" s="34">
        <f>F122*AP122</f>
        <v>0</v>
      </c>
      <c r="AY122" s="35" t="s">
        <v>501</v>
      </c>
      <c r="AZ122" s="35" t="s">
        <v>525</v>
      </c>
      <c r="BA122" s="26" t="s">
        <v>531</v>
      </c>
      <c r="BC122" s="34">
        <f>AW122+AX122</f>
        <v>0</v>
      </c>
      <c r="BD122" s="34">
        <f>G122/(100-BE122)*100</f>
        <v>0</v>
      </c>
      <c r="BE122" s="34">
        <v>0</v>
      </c>
      <c r="BF122" s="34">
        <f>L122</f>
        <v>0</v>
      </c>
      <c r="BH122" s="17">
        <f>F122*AO122</f>
        <v>0</v>
      </c>
      <c r="BI122" s="17">
        <f>F122*AP122</f>
        <v>0</v>
      </c>
      <c r="BJ122" s="17">
        <f>F122*G122</f>
        <v>0</v>
      </c>
    </row>
    <row r="123" spans="1:62" ht="12.75">
      <c r="A123" s="4" t="s">
        <v>73</v>
      </c>
      <c r="B123" s="4"/>
      <c r="C123" s="4" t="s">
        <v>192</v>
      </c>
      <c r="D123" s="4" t="s">
        <v>359</v>
      </c>
      <c r="E123" s="4" t="s">
        <v>440</v>
      </c>
      <c r="F123" s="17">
        <v>1</v>
      </c>
      <c r="G123" s="17"/>
      <c r="H123" s="17">
        <f>F123*AO123</f>
        <v>0</v>
      </c>
      <c r="I123" s="17">
        <f>F123*AP123</f>
        <v>0</v>
      </c>
      <c r="J123" s="17">
        <f>F123*G123</f>
        <v>0</v>
      </c>
      <c r="K123" s="17">
        <v>0</v>
      </c>
      <c r="L123" s="17">
        <f>F123*K123</f>
        <v>0</v>
      </c>
      <c r="M123" s="29"/>
      <c r="Z123" s="34">
        <f>IF(AQ123="5",BJ123,0)</f>
        <v>0</v>
      </c>
      <c r="AB123" s="34">
        <f>IF(AQ123="1",BH123,0)</f>
        <v>0</v>
      </c>
      <c r="AC123" s="34">
        <f>IF(AQ123="1",BI123,0)</f>
        <v>0</v>
      </c>
      <c r="AD123" s="34">
        <f>IF(AQ123="7",BH123,0)</f>
        <v>0</v>
      </c>
      <c r="AE123" s="34">
        <f>IF(AQ123="7",BI123,0)</f>
        <v>0</v>
      </c>
      <c r="AF123" s="34">
        <f>IF(AQ123="2",BH123,0)</f>
        <v>0</v>
      </c>
      <c r="AG123" s="34">
        <f>IF(AQ123="2",BI123,0)</f>
        <v>0</v>
      </c>
      <c r="AH123" s="34">
        <f>IF(AQ123="0",BJ123,0)</f>
        <v>0</v>
      </c>
      <c r="AI123" s="26"/>
      <c r="AJ123" s="17">
        <f>IF(AN123=0,J123,0)</f>
        <v>0</v>
      </c>
      <c r="AK123" s="17">
        <f>IF(AN123=15,J123,0)</f>
        <v>0</v>
      </c>
      <c r="AL123" s="17">
        <f>IF(AN123=21,J123,0)</f>
        <v>0</v>
      </c>
      <c r="AN123" s="34">
        <v>21</v>
      </c>
      <c r="AO123" s="34">
        <f>G123*0</f>
        <v>0</v>
      </c>
      <c r="AP123" s="34">
        <f>G123*(1-0)</f>
        <v>0</v>
      </c>
      <c r="AQ123" s="29" t="s">
        <v>13</v>
      </c>
      <c r="AV123" s="34">
        <f>AW123+AX123</f>
        <v>0</v>
      </c>
      <c r="AW123" s="34">
        <f>F123*AO123</f>
        <v>0</v>
      </c>
      <c r="AX123" s="34">
        <f>F123*AP123</f>
        <v>0</v>
      </c>
      <c r="AY123" s="35" t="s">
        <v>501</v>
      </c>
      <c r="AZ123" s="35" t="s">
        <v>525</v>
      </c>
      <c r="BA123" s="26" t="s">
        <v>531</v>
      </c>
      <c r="BC123" s="34">
        <f>AW123+AX123</f>
        <v>0</v>
      </c>
      <c r="BD123" s="34">
        <f>G123/(100-BE123)*100</f>
        <v>0</v>
      </c>
      <c r="BE123" s="34">
        <v>0</v>
      </c>
      <c r="BF123" s="34">
        <f>L123</f>
        <v>0</v>
      </c>
      <c r="BH123" s="17">
        <f>F123*AO123</f>
        <v>0</v>
      </c>
      <c r="BI123" s="17">
        <f>F123*AP123</f>
        <v>0</v>
      </c>
      <c r="BJ123" s="17">
        <f>F123*G123</f>
        <v>0</v>
      </c>
    </row>
    <row r="124" spans="1:62" ht="12.75">
      <c r="A124" s="4" t="s">
        <v>74</v>
      </c>
      <c r="B124" s="4"/>
      <c r="C124" s="4" t="s">
        <v>192</v>
      </c>
      <c r="D124" s="4" t="s">
        <v>360</v>
      </c>
      <c r="E124" s="4" t="s">
        <v>440</v>
      </c>
      <c r="F124" s="17">
        <v>1</v>
      </c>
      <c r="G124" s="17"/>
      <c r="H124" s="17">
        <f>F124*AO124</f>
        <v>0</v>
      </c>
      <c r="I124" s="17">
        <f>F124*AP124</f>
        <v>0</v>
      </c>
      <c r="J124" s="17">
        <f>F124*G124</f>
        <v>0</v>
      </c>
      <c r="K124" s="17">
        <v>0</v>
      </c>
      <c r="L124" s="17">
        <f>F124*K124</f>
        <v>0</v>
      </c>
      <c r="M124" s="29"/>
      <c r="Z124" s="34">
        <f>IF(AQ124="5",BJ124,0)</f>
        <v>0</v>
      </c>
      <c r="AB124" s="34">
        <f>IF(AQ124="1",BH124,0)</f>
        <v>0</v>
      </c>
      <c r="AC124" s="34">
        <f>IF(AQ124="1",BI124,0)</f>
        <v>0</v>
      </c>
      <c r="AD124" s="34">
        <f>IF(AQ124="7",BH124,0)</f>
        <v>0</v>
      </c>
      <c r="AE124" s="34">
        <f>IF(AQ124="7",BI124,0)</f>
        <v>0</v>
      </c>
      <c r="AF124" s="34">
        <f>IF(AQ124="2",BH124,0)</f>
        <v>0</v>
      </c>
      <c r="AG124" s="34">
        <f>IF(AQ124="2",BI124,0)</f>
        <v>0</v>
      </c>
      <c r="AH124" s="34">
        <f>IF(AQ124="0",BJ124,0)</f>
        <v>0</v>
      </c>
      <c r="AI124" s="26"/>
      <c r="AJ124" s="17">
        <f>IF(AN124=0,J124,0)</f>
        <v>0</v>
      </c>
      <c r="AK124" s="17">
        <f>IF(AN124=15,J124,0)</f>
        <v>0</v>
      </c>
      <c r="AL124" s="17">
        <f>IF(AN124=21,J124,0)</f>
        <v>0</v>
      </c>
      <c r="AN124" s="34">
        <v>21</v>
      </c>
      <c r="AO124" s="34">
        <f>G124*0</f>
        <v>0</v>
      </c>
      <c r="AP124" s="34">
        <f>G124*(1-0)</f>
        <v>0</v>
      </c>
      <c r="AQ124" s="29" t="s">
        <v>13</v>
      </c>
      <c r="AV124" s="34">
        <f>AW124+AX124</f>
        <v>0</v>
      </c>
      <c r="AW124" s="34">
        <f>F124*AO124</f>
        <v>0</v>
      </c>
      <c r="AX124" s="34">
        <f>F124*AP124</f>
        <v>0</v>
      </c>
      <c r="AY124" s="35" t="s">
        <v>501</v>
      </c>
      <c r="AZ124" s="35" t="s">
        <v>525</v>
      </c>
      <c r="BA124" s="26" t="s">
        <v>531</v>
      </c>
      <c r="BC124" s="34">
        <f>AW124+AX124</f>
        <v>0</v>
      </c>
      <c r="BD124" s="34">
        <f>G124/(100-BE124)*100</f>
        <v>0</v>
      </c>
      <c r="BE124" s="34">
        <v>0</v>
      </c>
      <c r="BF124" s="34">
        <f>L124</f>
        <v>0</v>
      </c>
      <c r="BH124" s="17">
        <f>F124*AO124</f>
        <v>0</v>
      </c>
      <c r="BI124" s="17">
        <f>F124*AP124</f>
        <v>0</v>
      </c>
      <c r="BJ124" s="17">
        <f>F124*G124</f>
        <v>0</v>
      </c>
    </row>
    <row r="125" spans="1:47" ht="12.75">
      <c r="A125" s="5"/>
      <c r="B125" s="13"/>
      <c r="C125" s="13" t="s">
        <v>193</v>
      </c>
      <c r="D125" s="13" t="s">
        <v>361</v>
      </c>
      <c r="E125" s="5" t="s">
        <v>6</v>
      </c>
      <c r="F125" s="5" t="s">
        <v>6</v>
      </c>
      <c r="G125" s="5" t="s">
        <v>6</v>
      </c>
      <c r="H125" s="37">
        <f>SUM(H126:H127)</f>
        <v>0</v>
      </c>
      <c r="I125" s="37">
        <f>SUM(I126:I127)</f>
        <v>0</v>
      </c>
      <c r="J125" s="37">
        <f>SUM(J126:J127)</f>
        <v>0</v>
      </c>
      <c r="K125" s="26"/>
      <c r="L125" s="37">
        <f>SUM(L126:L127)</f>
        <v>0.16092</v>
      </c>
      <c r="M125" s="26"/>
      <c r="AI125" s="26"/>
      <c r="AS125" s="37">
        <f>SUM(AJ126:AJ127)</f>
        <v>0</v>
      </c>
      <c r="AT125" s="37">
        <f>SUM(AK126:AK127)</f>
        <v>0</v>
      </c>
      <c r="AU125" s="37">
        <f>SUM(AL126:AL127)</f>
        <v>0</v>
      </c>
    </row>
    <row r="126" spans="1:62" ht="12.75">
      <c r="A126" s="4" t="s">
        <v>75</v>
      </c>
      <c r="B126" s="4"/>
      <c r="C126" s="4" t="s">
        <v>194</v>
      </c>
      <c r="D126" s="4" t="s">
        <v>362</v>
      </c>
      <c r="E126" s="4" t="s">
        <v>443</v>
      </c>
      <c r="F126" s="17">
        <v>12</v>
      </c>
      <c r="G126" s="17"/>
      <c r="H126" s="17">
        <f>F126*AO126</f>
        <v>0</v>
      </c>
      <c r="I126" s="17">
        <f>F126*AP126</f>
        <v>0</v>
      </c>
      <c r="J126" s="17">
        <f>F126*G126</f>
        <v>0</v>
      </c>
      <c r="K126" s="17">
        <v>0.01193</v>
      </c>
      <c r="L126" s="17">
        <f>F126*K126</f>
        <v>0.14316</v>
      </c>
      <c r="M126" s="29"/>
      <c r="Z126" s="34">
        <f>IF(AQ126="5",BJ126,0)</f>
        <v>0</v>
      </c>
      <c r="AB126" s="34">
        <f>IF(AQ126="1",BH126,0)</f>
        <v>0</v>
      </c>
      <c r="AC126" s="34">
        <f>IF(AQ126="1",BI126,0)</f>
        <v>0</v>
      </c>
      <c r="AD126" s="34">
        <f>IF(AQ126="7",BH126,0)</f>
        <v>0</v>
      </c>
      <c r="AE126" s="34">
        <f>IF(AQ126="7",BI126,0)</f>
        <v>0</v>
      </c>
      <c r="AF126" s="34">
        <f>IF(AQ126="2",BH126,0)</f>
        <v>0</v>
      </c>
      <c r="AG126" s="34">
        <f>IF(AQ126="2",BI126,0)</f>
        <v>0</v>
      </c>
      <c r="AH126" s="34">
        <f>IF(AQ126="0",BJ126,0)</f>
        <v>0</v>
      </c>
      <c r="AI126" s="26"/>
      <c r="AJ126" s="17">
        <f>IF(AN126=0,J126,0)</f>
        <v>0</v>
      </c>
      <c r="AK126" s="17">
        <f>IF(AN126=15,J126,0)</f>
        <v>0</v>
      </c>
      <c r="AL126" s="17">
        <f>IF(AN126=21,J126,0)</f>
        <v>0</v>
      </c>
      <c r="AN126" s="34">
        <v>21</v>
      </c>
      <c r="AO126" s="34">
        <f>G126*0.0580750095675469</f>
        <v>0</v>
      </c>
      <c r="AP126" s="34">
        <f>G126*(1-0.0580750095675469)</f>
        <v>0</v>
      </c>
      <c r="AQ126" s="29" t="s">
        <v>13</v>
      </c>
      <c r="AV126" s="34">
        <f>AW126+AX126</f>
        <v>0</v>
      </c>
      <c r="AW126" s="34">
        <f>F126*AO126</f>
        <v>0</v>
      </c>
      <c r="AX126" s="34">
        <f>F126*AP126</f>
        <v>0</v>
      </c>
      <c r="AY126" s="35" t="s">
        <v>502</v>
      </c>
      <c r="AZ126" s="35" t="s">
        <v>526</v>
      </c>
      <c r="BA126" s="26" t="s">
        <v>531</v>
      </c>
      <c r="BC126" s="34">
        <f>AW126+AX126</f>
        <v>0</v>
      </c>
      <c r="BD126" s="34">
        <f>G126/(100-BE126)*100</f>
        <v>0</v>
      </c>
      <c r="BE126" s="34">
        <v>0</v>
      </c>
      <c r="BF126" s="34">
        <f>L126</f>
        <v>0.14316</v>
      </c>
      <c r="BH126" s="17">
        <f>F126*AO126</f>
        <v>0</v>
      </c>
      <c r="BI126" s="17">
        <f>F126*AP126</f>
        <v>0</v>
      </c>
      <c r="BJ126" s="17">
        <f>F126*G126</f>
        <v>0</v>
      </c>
    </row>
    <row r="127" spans="1:62" ht="12.75">
      <c r="A127" s="4" t="s">
        <v>76</v>
      </c>
      <c r="B127" s="4"/>
      <c r="C127" s="4" t="s">
        <v>195</v>
      </c>
      <c r="D127" s="4" t="s">
        <v>363</v>
      </c>
      <c r="E127" s="4" t="s">
        <v>443</v>
      </c>
      <c r="F127" s="17">
        <v>12</v>
      </c>
      <c r="G127" s="17"/>
      <c r="H127" s="17">
        <f>F127*AO127</f>
        <v>0</v>
      </c>
      <c r="I127" s="17">
        <f>F127*AP127</f>
        <v>0</v>
      </c>
      <c r="J127" s="17">
        <f>F127*G127</f>
        <v>0</v>
      </c>
      <c r="K127" s="17">
        <v>0.00148</v>
      </c>
      <c r="L127" s="17">
        <f>F127*K127</f>
        <v>0.017759999999999998</v>
      </c>
      <c r="M127" s="29"/>
      <c r="Z127" s="34">
        <f>IF(AQ127="5",BJ127,0)</f>
        <v>0</v>
      </c>
      <c r="AB127" s="34">
        <f>IF(AQ127="1",BH127,0)</f>
        <v>0</v>
      </c>
      <c r="AC127" s="34">
        <f>IF(AQ127="1",BI127,0)</f>
        <v>0</v>
      </c>
      <c r="AD127" s="34">
        <f>IF(AQ127="7",BH127,0)</f>
        <v>0</v>
      </c>
      <c r="AE127" s="34">
        <f>IF(AQ127="7",BI127,0)</f>
        <v>0</v>
      </c>
      <c r="AF127" s="34">
        <f>IF(AQ127="2",BH127,0)</f>
        <v>0</v>
      </c>
      <c r="AG127" s="34">
        <f>IF(AQ127="2",BI127,0)</f>
        <v>0</v>
      </c>
      <c r="AH127" s="34">
        <f>IF(AQ127="0",BJ127,0)</f>
        <v>0</v>
      </c>
      <c r="AI127" s="26"/>
      <c r="AJ127" s="17">
        <f>IF(AN127=0,J127,0)</f>
        <v>0</v>
      </c>
      <c r="AK127" s="17">
        <f>IF(AN127=15,J127,0)</f>
        <v>0</v>
      </c>
      <c r="AL127" s="17">
        <f>IF(AN127=21,J127,0)</f>
        <v>0</v>
      </c>
      <c r="AN127" s="34">
        <v>21</v>
      </c>
      <c r="AO127" s="34">
        <f>G127*0.401818181818182</f>
        <v>0</v>
      </c>
      <c r="AP127" s="34">
        <f>G127*(1-0.401818181818182)</f>
        <v>0</v>
      </c>
      <c r="AQ127" s="29" t="s">
        <v>13</v>
      </c>
      <c r="AV127" s="34">
        <f>AW127+AX127</f>
        <v>0</v>
      </c>
      <c r="AW127" s="34">
        <f>F127*AO127</f>
        <v>0</v>
      </c>
      <c r="AX127" s="34">
        <f>F127*AP127</f>
        <v>0</v>
      </c>
      <c r="AY127" s="35" t="s">
        <v>502</v>
      </c>
      <c r="AZ127" s="35" t="s">
        <v>526</v>
      </c>
      <c r="BA127" s="26" t="s">
        <v>531</v>
      </c>
      <c r="BC127" s="34">
        <f>AW127+AX127</f>
        <v>0</v>
      </c>
      <c r="BD127" s="34">
        <f>G127/(100-BE127)*100</f>
        <v>0</v>
      </c>
      <c r="BE127" s="34">
        <v>0</v>
      </c>
      <c r="BF127" s="34">
        <f>L127</f>
        <v>0.017759999999999998</v>
      </c>
      <c r="BH127" s="17">
        <f>F127*AO127</f>
        <v>0</v>
      </c>
      <c r="BI127" s="17">
        <f>F127*AP127</f>
        <v>0</v>
      </c>
      <c r="BJ127" s="17">
        <f>F127*G127</f>
        <v>0</v>
      </c>
    </row>
    <row r="128" ht="12.75">
      <c r="D128" s="15" t="s">
        <v>364</v>
      </c>
    </row>
    <row r="129" spans="1:47" ht="12.75">
      <c r="A129" s="5"/>
      <c r="B129" s="13"/>
      <c r="C129" s="13" t="s">
        <v>196</v>
      </c>
      <c r="D129" s="13" t="s">
        <v>365</v>
      </c>
      <c r="E129" s="5" t="s">
        <v>6</v>
      </c>
      <c r="F129" s="5" t="s">
        <v>6</v>
      </c>
      <c r="G129" s="5" t="s">
        <v>6</v>
      </c>
      <c r="H129" s="37">
        <f>SUM(H130:H130)</f>
        <v>0</v>
      </c>
      <c r="I129" s="37">
        <f>SUM(I130:I130)</f>
        <v>0</v>
      </c>
      <c r="J129" s="37">
        <f>SUM(J130:J130)</f>
        <v>0</v>
      </c>
      <c r="K129" s="26"/>
      <c r="L129" s="37">
        <f>SUM(L130:L130)</f>
        <v>0.01755</v>
      </c>
      <c r="M129" s="26"/>
      <c r="AI129" s="26"/>
      <c r="AS129" s="37">
        <f>SUM(AJ130:AJ130)</f>
        <v>0</v>
      </c>
      <c r="AT129" s="37">
        <f>SUM(AK130:AK130)</f>
        <v>0</v>
      </c>
      <c r="AU129" s="37">
        <f>SUM(AL130:AL130)</f>
        <v>0</v>
      </c>
    </row>
    <row r="130" spans="1:62" ht="12.75">
      <c r="A130" s="4" t="s">
        <v>77</v>
      </c>
      <c r="B130" s="4"/>
      <c r="C130" s="4" t="s">
        <v>197</v>
      </c>
      <c r="D130" s="4" t="s">
        <v>366</v>
      </c>
      <c r="E130" s="4" t="s">
        <v>442</v>
      </c>
      <c r="F130" s="17">
        <v>117</v>
      </c>
      <c r="G130" s="17"/>
      <c r="H130" s="17">
        <f>F130*AO130</f>
        <v>0</v>
      </c>
      <c r="I130" s="17">
        <f>F130*AP130</f>
        <v>0</v>
      </c>
      <c r="J130" s="17">
        <f>F130*G130</f>
        <v>0</v>
      </c>
      <c r="K130" s="17">
        <v>0.00015</v>
      </c>
      <c r="L130" s="17">
        <f>F130*K130</f>
        <v>0.01755</v>
      </c>
      <c r="M130" s="29"/>
      <c r="Z130" s="34">
        <f>IF(AQ130="5",BJ130,0)</f>
        <v>0</v>
      </c>
      <c r="AB130" s="34">
        <f>IF(AQ130="1",BH130,0)</f>
        <v>0</v>
      </c>
      <c r="AC130" s="34">
        <f>IF(AQ130="1",BI130,0)</f>
        <v>0</v>
      </c>
      <c r="AD130" s="34">
        <f>IF(AQ130="7",BH130,0)</f>
        <v>0</v>
      </c>
      <c r="AE130" s="34">
        <f>IF(AQ130="7",BI130,0)</f>
        <v>0</v>
      </c>
      <c r="AF130" s="34">
        <f>IF(AQ130="2",BH130,0)</f>
        <v>0</v>
      </c>
      <c r="AG130" s="34">
        <f>IF(AQ130="2",BI130,0)</f>
        <v>0</v>
      </c>
      <c r="AH130" s="34">
        <f>IF(AQ130="0",BJ130,0)</f>
        <v>0</v>
      </c>
      <c r="AI130" s="26"/>
      <c r="AJ130" s="17">
        <f>IF(AN130=0,J130,0)</f>
        <v>0</v>
      </c>
      <c r="AK130" s="17">
        <f>IF(AN130=15,J130,0)</f>
        <v>0</v>
      </c>
      <c r="AL130" s="17">
        <f>IF(AN130=21,J130,0)</f>
        <v>0</v>
      </c>
      <c r="AN130" s="34">
        <v>21</v>
      </c>
      <c r="AO130" s="34">
        <f>G130*0.0925343811394892</f>
        <v>0</v>
      </c>
      <c r="AP130" s="34">
        <f>G130*(1-0.0925343811394892)</f>
        <v>0</v>
      </c>
      <c r="AQ130" s="29" t="s">
        <v>13</v>
      </c>
      <c r="AV130" s="34">
        <f>AW130+AX130</f>
        <v>0</v>
      </c>
      <c r="AW130" s="34">
        <f>F130*AO130</f>
        <v>0</v>
      </c>
      <c r="AX130" s="34">
        <f>F130*AP130</f>
        <v>0</v>
      </c>
      <c r="AY130" s="35" t="s">
        <v>503</v>
      </c>
      <c r="AZ130" s="35" t="s">
        <v>527</v>
      </c>
      <c r="BA130" s="26" t="s">
        <v>531</v>
      </c>
      <c r="BC130" s="34">
        <f>AW130+AX130</f>
        <v>0</v>
      </c>
      <c r="BD130" s="34">
        <f>G130/(100-BE130)*100</f>
        <v>0</v>
      </c>
      <c r="BE130" s="34">
        <v>0</v>
      </c>
      <c r="BF130" s="34">
        <f>L130</f>
        <v>0.01755</v>
      </c>
      <c r="BH130" s="17">
        <f>F130*AO130</f>
        <v>0</v>
      </c>
      <c r="BI130" s="17">
        <f>F130*AP130</f>
        <v>0</v>
      </c>
      <c r="BJ130" s="17">
        <f>F130*G130</f>
        <v>0</v>
      </c>
    </row>
    <row r="131" spans="1:47" ht="12.75">
      <c r="A131" s="5"/>
      <c r="B131" s="13"/>
      <c r="C131" s="13" t="s">
        <v>93</v>
      </c>
      <c r="D131" s="13" t="s">
        <v>367</v>
      </c>
      <c r="E131" s="5" t="s">
        <v>6</v>
      </c>
      <c r="F131" s="5" t="s">
        <v>6</v>
      </c>
      <c r="G131" s="5" t="s">
        <v>6</v>
      </c>
      <c r="H131" s="37">
        <f>SUM(H132:H156)</f>
        <v>0</v>
      </c>
      <c r="I131" s="37">
        <f>SUM(I132:I156)</f>
        <v>0</v>
      </c>
      <c r="J131" s="37">
        <f>SUM(J132:J156)</f>
        <v>0</v>
      </c>
      <c r="K131" s="26"/>
      <c r="L131" s="37">
        <f>SUM(L132:L156)</f>
        <v>1.096</v>
      </c>
      <c r="M131" s="26"/>
      <c r="AI131" s="26"/>
      <c r="AS131" s="37">
        <f>SUM(AJ132:AJ156)</f>
        <v>0</v>
      </c>
      <c r="AT131" s="37">
        <f>SUM(AK132:AK156)</f>
        <v>0</v>
      </c>
      <c r="AU131" s="37">
        <f>SUM(AL132:AL156)</f>
        <v>0</v>
      </c>
    </row>
    <row r="132" spans="1:62" ht="12.75">
      <c r="A132" s="4" t="s">
        <v>78</v>
      </c>
      <c r="B132" s="4"/>
      <c r="C132" s="4" t="s">
        <v>198</v>
      </c>
      <c r="D132" s="4" t="s">
        <v>368</v>
      </c>
      <c r="E132" s="4" t="s">
        <v>448</v>
      </c>
      <c r="F132" s="17">
        <v>37</v>
      </c>
      <c r="G132" s="17"/>
      <c r="H132" s="17">
        <f>F132*AO132</f>
        <v>0</v>
      </c>
      <c r="I132" s="17">
        <f>F132*AP132</f>
        <v>0</v>
      </c>
      <c r="J132" s="17">
        <f>F132*G132</f>
        <v>0</v>
      </c>
      <c r="K132" s="17">
        <v>0.013</v>
      </c>
      <c r="L132" s="17">
        <f>F132*K132</f>
        <v>0.481</v>
      </c>
      <c r="M132" s="29"/>
      <c r="Z132" s="34">
        <f>IF(AQ132="5",BJ132,0)</f>
        <v>0</v>
      </c>
      <c r="AB132" s="34">
        <f>IF(AQ132="1",BH132,0)</f>
        <v>0</v>
      </c>
      <c r="AC132" s="34">
        <f>IF(AQ132="1",BI132,0)</f>
        <v>0</v>
      </c>
      <c r="AD132" s="34">
        <f>IF(AQ132="7",BH132,0)</f>
        <v>0</v>
      </c>
      <c r="AE132" s="34">
        <f>IF(AQ132="7",BI132,0)</f>
        <v>0</v>
      </c>
      <c r="AF132" s="34">
        <f>IF(AQ132="2",BH132,0)</f>
        <v>0</v>
      </c>
      <c r="AG132" s="34">
        <f>IF(AQ132="2",BI132,0)</f>
        <v>0</v>
      </c>
      <c r="AH132" s="34">
        <f>IF(AQ132="0",BJ132,0)</f>
        <v>0</v>
      </c>
      <c r="AI132" s="26"/>
      <c r="AJ132" s="17">
        <f>IF(AN132=0,J132,0)</f>
        <v>0</v>
      </c>
      <c r="AK132" s="17">
        <f>IF(AN132=15,J132,0)</f>
        <v>0</v>
      </c>
      <c r="AL132" s="17">
        <f>IF(AN132=21,J132,0)</f>
        <v>0</v>
      </c>
      <c r="AN132" s="34">
        <v>21</v>
      </c>
      <c r="AO132" s="34">
        <f>G132*0.740622505985635</f>
        <v>0</v>
      </c>
      <c r="AP132" s="34">
        <f>G132*(1-0.740622505985635)</f>
        <v>0</v>
      </c>
      <c r="AQ132" s="29" t="s">
        <v>7</v>
      </c>
      <c r="AV132" s="34">
        <f>AW132+AX132</f>
        <v>0</v>
      </c>
      <c r="AW132" s="34">
        <f>F132*AO132</f>
        <v>0</v>
      </c>
      <c r="AX132" s="34">
        <f>F132*AP132</f>
        <v>0</v>
      </c>
      <c r="AY132" s="35" t="s">
        <v>504</v>
      </c>
      <c r="AZ132" s="35" t="s">
        <v>528</v>
      </c>
      <c r="BA132" s="26" t="s">
        <v>531</v>
      </c>
      <c r="BC132" s="34">
        <f>AW132+AX132</f>
        <v>0</v>
      </c>
      <c r="BD132" s="34">
        <f>G132/(100-BE132)*100</f>
        <v>0</v>
      </c>
      <c r="BE132" s="34">
        <v>0</v>
      </c>
      <c r="BF132" s="34">
        <f>L132</f>
        <v>0.481</v>
      </c>
      <c r="BH132" s="17">
        <f>F132*AO132</f>
        <v>0</v>
      </c>
      <c r="BI132" s="17">
        <f>F132*AP132</f>
        <v>0</v>
      </c>
      <c r="BJ132" s="17">
        <f>F132*G132</f>
        <v>0</v>
      </c>
    </row>
    <row r="133" ht="12.75">
      <c r="D133" s="15" t="s">
        <v>369</v>
      </c>
    </row>
    <row r="134" spans="1:62" ht="12.75">
      <c r="A134" s="4" t="s">
        <v>79</v>
      </c>
      <c r="B134" s="4"/>
      <c r="C134" s="4" t="s">
        <v>199</v>
      </c>
      <c r="D134" s="4" t="s">
        <v>370</v>
      </c>
      <c r="E134" s="4" t="s">
        <v>448</v>
      </c>
      <c r="F134" s="17">
        <v>1</v>
      </c>
      <c r="G134" s="17"/>
      <c r="H134" s="17">
        <f>F134*AO134</f>
        <v>0</v>
      </c>
      <c r="I134" s="17">
        <f>F134*AP134</f>
        <v>0</v>
      </c>
      <c r="J134" s="17">
        <f>F134*G134</f>
        <v>0</v>
      </c>
      <c r="K134" s="17">
        <v>0.002</v>
      </c>
      <c r="L134" s="17">
        <f>F134*K134</f>
        <v>0.002</v>
      </c>
      <c r="M134" s="29"/>
      <c r="Z134" s="34">
        <f>IF(AQ134="5",BJ134,0)</f>
        <v>0</v>
      </c>
      <c r="AB134" s="34">
        <f>IF(AQ134="1",BH134,0)</f>
        <v>0</v>
      </c>
      <c r="AC134" s="34">
        <f>IF(AQ134="1",BI134,0)</f>
        <v>0</v>
      </c>
      <c r="AD134" s="34">
        <f>IF(AQ134="7",BH134,0)</f>
        <v>0</v>
      </c>
      <c r="AE134" s="34">
        <f>IF(AQ134="7",BI134,0)</f>
        <v>0</v>
      </c>
      <c r="AF134" s="34">
        <f>IF(AQ134="2",BH134,0)</f>
        <v>0</v>
      </c>
      <c r="AG134" s="34">
        <f>IF(AQ134="2",BI134,0)</f>
        <v>0</v>
      </c>
      <c r="AH134" s="34">
        <f>IF(AQ134="0",BJ134,0)</f>
        <v>0</v>
      </c>
      <c r="AI134" s="26"/>
      <c r="AJ134" s="17">
        <f>IF(AN134=0,J134,0)</f>
        <v>0</v>
      </c>
      <c r="AK134" s="17">
        <f>IF(AN134=15,J134,0)</f>
        <v>0</v>
      </c>
      <c r="AL134" s="17">
        <f>IF(AN134=21,J134,0)</f>
        <v>0</v>
      </c>
      <c r="AN134" s="34">
        <v>21</v>
      </c>
      <c r="AO134" s="34">
        <f>G134*0.740697674418605</f>
        <v>0</v>
      </c>
      <c r="AP134" s="34">
        <f>G134*(1-0.740697674418605)</f>
        <v>0</v>
      </c>
      <c r="AQ134" s="29" t="s">
        <v>7</v>
      </c>
      <c r="AV134" s="34">
        <f>AW134+AX134</f>
        <v>0</v>
      </c>
      <c r="AW134" s="34">
        <f>F134*AO134</f>
        <v>0</v>
      </c>
      <c r="AX134" s="34">
        <f>F134*AP134</f>
        <v>0</v>
      </c>
      <c r="AY134" s="35" t="s">
        <v>504</v>
      </c>
      <c r="AZ134" s="35" t="s">
        <v>528</v>
      </c>
      <c r="BA134" s="26" t="s">
        <v>531</v>
      </c>
      <c r="BC134" s="34">
        <f>AW134+AX134</f>
        <v>0</v>
      </c>
      <c r="BD134" s="34">
        <f>G134/(100-BE134)*100</f>
        <v>0</v>
      </c>
      <c r="BE134" s="34">
        <v>0</v>
      </c>
      <c r="BF134" s="34">
        <f>L134</f>
        <v>0.002</v>
      </c>
      <c r="BH134" s="17">
        <f>F134*AO134</f>
        <v>0</v>
      </c>
      <c r="BI134" s="17">
        <f>F134*AP134</f>
        <v>0</v>
      </c>
      <c r="BJ134" s="17">
        <f>F134*G134</f>
        <v>0</v>
      </c>
    </row>
    <row r="135" ht="12.75">
      <c r="D135" s="15" t="s">
        <v>369</v>
      </c>
    </row>
    <row r="136" spans="1:62" ht="12.75">
      <c r="A136" s="4" t="s">
        <v>80</v>
      </c>
      <c r="B136" s="4"/>
      <c r="C136" s="4" t="s">
        <v>200</v>
      </c>
      <c r="D136" s="4" t="s">
        <v>371</v>
      </c>
      <c r="E136" s="4" t="s">
        <v>448</v>
      </c>
      <c r="F136" s="17">
        <v>4</v>
      </c>
      <c r="G136" s="17"/>
      <c r="H136" s="17">
        <f>F136*AO136</f>
        <v>0</v>
      </c>
      <c r="I136" s="17">
        <f>F136*AP136</f>
        <v>0</v>
      </c>
      <c r="J136" s="17">
        <f>F136*G136</f>
        <v>0</v>
      </c>
      <c r="K136" s="17">
        <v>0.002</v>
      </c>
      <c r="L136" s="17">
        <f>F136*K136</f>
        <v>0.008</v>
      </c>
      <c r="M136" s="29"/>
      <c r="Z136" s="34">
        <f>IF(AQ136="5",BJ136,0)</f>
        <v>0</v>
      </c>
      <c r="AB136" s="34">
        <f>IF(AQ136="1",BH136,0)</f>
        <v>0</v>
      </c>
      <c r="AC136" s="34">
        <f>IF(AQ136="1",BI136,0)</f>
        <v>0</v>
      </c>
      <c r="AD136" s="34">
        <f>IF(AQ136="7",BH136,0)</f>
        <v>0</v>
      </c>
      <c r="AE136" s="34">
        <f>IF(AQ136="7",BI136,0)</f>
        <v>0</v>
      </c>
      <c r="AF136" s="34">
        <f>IF(AQ136="2",BH136,0)</f>
        <v>0</v>
      </c>
      <c r="AG136" s="34">
        <f>IF(AQ136="2",BI136,0)</f>
        <v>0</v>
      </c>
      <c r="AH136" s="34">
        <f>IF(AQ136="0",BJ136,0)</f>
        <v>0</v>
      </c>
      <c r="AI136" s="26"/>
      <c r="AJ136" s="17">
        <f>IF(AN136=0,J136,0)</f>
        <v>0</v>
      </c>
      <c r="AK136" s="17">
        <f>IF(AN136=15,J136,0)</f>
        <v>0</v>
      </c>
      <c r="AL136" s="17">
        <f>IF(AN136=21,J136,0)</f>
        <v>0</v>
      </c>
      <c r="AN136" s="34">
        <v>21</v>
      </c>
      <c r="AO136" s="34">
        <f>G136*0.74080771549126</f>
        <v>0</v>
      </c>
      <c r="AP136" s="34">
        <f>G136*(1-0.74080771549126)</f>
        <v>0</v>
      </c>
      <c r="AQ136" s="29" t="s">
        <v>7</v>
      </c>
      <c r="AV136" s="34">
        <f>AW136+AX136</f>
        <v>0</v>
      </c>
      <c r="AW136" s="34">
        <f>F136*AO136</f>
        <v>0</v>
      </c>
      <c r="AX136" s="34">
        <f>F136*AP136</f>
        <v>0</v>
      </c>
      <c r="AY136" s="35" t="s">
        <v>504</v>
      </c>
      <c r="AZ136" s="35" t="s">
        <v>528</v>
      </c>
      <c r="BA136" s="26" t="s">
        <v>531</v>
      </c>
      <c r="BC136" s="34">
        <f>AW136+AX136</f>
        <v>0</v>
      </c>
      <c r="BD136" s="34">
        <f>G136/(100-BE136)*100</f>
        <v>0</v>
      </c>
      <c r="BE136" s="34">
        <v>0</v>
      </c>
      <c r="BF136" s="34">
        <f>L136</f>
        <v>0.008</v>
      </c>
      <c r="BH136" s="17">
        <f>F136*AO136</f>
        <v>0</v>
      </c>
      <c r="BI136" s="17">
        <f>F136*AP136</f>
        <v>0</v>
      </c>
      <c r="BJ136" s="17">
        <f>F136*G136</f>
        <v>0</v>
      </c>
    </row>
    <row r="137" ht="12.75">
      <c r="D137" s="15" t="s">
        <v>369</v>
      </c>
    </row>
    <row r="138" spans="1:62" ht="12.75">
      <c r="A138" s="4" t="s">
        <v>81</v>
      </c>
      <c r="B138" s="4"/>
      <c r="C138" s="4" t="s">
        <v>201</v>
      </c>
      <c r="D138" s="4" t="s">
        <v>372</v>
      </c>
      <c r="E138" s="4" t="s">
        <v>448</v>
      </c>
      <c r="F138" s="17">
        <v>6</v>
      </c>
      <c r="G138" s="17"/>
      <c r="H138" s="17">
        <f>F138*AO138</f>
        <v>0</v>
      </c>
      <c r="I138" s="17">
        <f>F138*AP138</f>
        <v>0</v>
      </c>
      <c r="J138" s="17">
        <f>F138*G138</f>
        <v>0</v>
      </c>
      <c r="K138" s="17">
        <v>0.002</v>
      </c>
      <c r="L138" s="17">
        <f>F138*K138</f>
        <v>0.012</v>
      </c>
      <c r="M138" s="29"/>
      <c r="Z138" s="34">
        <f>IF(AQ138="5",BJ138,0)</f>
        <v>0</v>
      </c>
      <c r="AB138" s="34">
        <f>IF(AQ138="1",BH138,0)</f>
        <v>0</v>
      </c>
      <c r="AC138" s="34">
        <f>IF(AQ138="1",BI138,0)</f>
        <v>0</v>
      </c>
      <c r="AD138" s="34">
        <f>IF(AQ138="7",BH138,0)</f>
        <v>0</v>
      </c>
      <c r="AE138" s="34">
        <f>IF(AQ138="7",BI138,0)</f>
        <v>0</v>
      </c>
      <c r="AF138" s="34">
        <f>IF(AQ138="2",BH138,0)</f>
        <v>0</v>
      </c>
      <c r="AG138" s="34">
        <f>IF(AQ138="2",BI138,0)</f>
        <v>0</v>
      </c>
      <c r="AH138" s="34">
        <f>IF(AQ138="0",BJ138,0)</f>
        <v>0</v>
      </c>
      <c r="AI138" s="26"/>
      <c r="AJ138" s="17">
        <f>IF(AN138=0,J138,0)</f>
        <v>0</v>
      </c>
      <c r="AK138" s="17">
        <f>IF(AN138=15,J138,0)</f>
        <v>0</v>
      </c>
      <c r="AL138" s="17">
        <f>IF(AN138=21,J138,0)</f>
        <v>0</v>
      </c>
      <c r="AN138" s="34">
        <v>21</v>
      </c>
      <c r="AO138" s="34">
        <f>G138*0.740625</f>
        <v>0</v>
      </c>
      <c r="AP138" s="34">
        <f>G138*(1-0.740625)</f>
        <v>0</v>
      </c>
      <c r="AQ138" s="29" t="s">
        <v>7</v>
      </c>
      <c r="AV138" s="34">
        <f>AW138+AX138</f>
        <v>0</v>
      </c>
      <c r="AW138" s="34">
        <f>F138*AO138</f>
        <v>0</v>
      </c>
      <c r="AX138" s="34">
        <f>F138*AP138</f>
        <v>0</v>
      </c>
      <c r="AY138" s="35" t="s">
        <v>504</v>
      </c>
      <c r="AZ138" s="35" t="s">
        <v>528</v>
      </c>
      <c r="BA138" s="26" t="s">
        <v>531</v>
      </c>
      <c r="BC138" s="34">
        <f>AW138+AX138</f>
        <v>0</v>
      </c>
      <c r="BD138" s="34">
        <f>G138/(100-BE138)*100</f>
        <v>0</v>
      </c>
      <c r="BE138" s="34">
        <v>0</v>
      </c>
      <c r="BF138" s="34">
        <f>L138</f>
        <v>0.012</v>
      </c>
      <c r="BH138" s="17">
        <f>F138*AO138</f>
        <v>0</v>
      </c>
      <c r="BI138" s="17">
        <f>F138*AP138</f>
        <v>0</v>
      </c>
      <c r="BJ138" s="17">
        <f>F138*G138</f>
        <v>0</v>
      </c>
    </row>
    <row r="139" ht="12.75">
      <c r="D139" s="15" t="s">
        <v>369</v>
      </c>
    </row>
    <row r="140" spans="1:62" ht="12.75">
      <c r="A140" s="4" t="s">
        <v>82</v>
      </c>
      <c r="B140" s="4"/>
      <c r="C140" s="4" t="s">
        <v>202</v>
      </c>
      <c r="D140" s="4" t="s">
        <v>373</v>
      </c>
      <c r="E140" s="4" t="s">
        <v>448</v>
      </c>
      <c r="F140" s="17">
        <v>1</v>
      </c>
      <c r="G140" s="17"/>
      <c r="H140" s="17">
        <f>F140*AO140</f>
        <v>0</v>
      </c>
      <c r="I140" s="17">
        <f>F140*AP140</f>
        <v>0</v>
      </c>
      <c r="J140" s="17">
        <f>F140*G140</f>
        <v>0</v>
      </c>
      <c r="K140" s="17">
        <v>0.002</v>
      </c>
      <c r="L140" s="17">
        <f>F140*K140</f>
        <v>0.002</v>
      </c>
      <c r="M140" s="29"/>
      <c r="Z140" s="34">
        <f>IF(AQ140="5",BJ140,0)</f>
        <v>0</v>
      </c>
      <c r="AB140" s="34">
        <f>IF(AQ140="1",BH140,0)</f>
        <v>0</v>
      </c>
      <c r="AC140" s="34">
        <f>IF(AQ140="1",BI140,0)</f>
        <v>0</v>
      </c>
      <c r="AD140" s="34">
        <f>IF(AQ140="7",BH140,0)</f>
        <v>0</v>
      </c>
      <c r="AE140" s="34">
        <f>IF(AQ140="7",BI140,0)</f>
        <v>0</v>
      </c>
      <c r="AF140" s="34">
        <f>IF(AQ140="2",BH140,0)</f>
        <v>0</v>
      </c>
      <c r="AG140" s="34">
        <f>IF(AQ140="2",BI140,0)</f>
        <v>0</v>
      </c>
      <c r="AH140" s="34">
        <f>IF(AQ140="0",BJ140,0)</f>
        <v>0</v>
      </c>
      <c r="AI140" s="26"/>
      <c r="AJ140" s="17">
        <f>IF(AN140=0,J140,0)</f>
        <v>0</v>
      </c>
      <c r="AK140" s="17">
        <f>IF(AN140=15,J140,0)</f>
        <v>0</v>
      </c>
      <c r="AL140" s="17">
        <f>IF(AN140=21,J140,0)</f>
        <v>0</v>
      </c>
      <c r="AN140" s="34">
        <v>21</v>
      </c>
      <c r="AO140" s="34">
        <f>G140*0.74071365896461</f>
        <v>0</v>
      </c>
      <c r="AP140" s="34">
        <f>G140*(1-0.74071365896461)</f>
        <v>0</v>
      </c>
      <c r="AQ140" s="29" t="s">
        <v>7</v>
      </c>
      <c r="AV140" s="34">
        <f>AW140+AX140</f>
        <v>0</v>
      </c>
      <c r="AW140" s="34">
        <f>F140*AO140</f>
        <v>0</v>
      </c>
      <c r="AX140" s="34">
        <f>F140*AP140</f>
        <v>0</v>
      </c>
      <c r="AY140" s="35" t="s">
        <v>504</v>
      </c>
      <c r="AZ140" s="35" t="s">
        <v>528</v>
      </c>
      <c r="BA140" s="26" t="s">
        <v>531</v>
      </c>
      <c r="BC140" s="34">
        <f>AW140+AX140</f>
        <v>0</v>
      </c>
      <c r="BD140" s="34">
        <f>G140/(100-BE140)*100</f>
        <v>0</v>
      </c>
      <c r="BE140" s="34">
        <v>0</v>
      </c>
      <c r="BF140" s="34">
        <f>L140</f>
        <v>0.002</v>
      </c>
      <c r="BH140" s="17">
        <f>F140*AO140</f>
        <v>0</v>
      </c>
      <c r="BI140" s="17">
        <f>F140*AP140</f>
        <v>0</v>
      </c>
      <c r="BJ140" s="17">
        <f>F140*G140</f>
        <v>0</v>
      </c>
    </row>
    <row r="141" ht="12.75">
      <c r="D141" s="15" t="s">
        <v>369</v>
      </c>
    </row>
    <row r="142" spans="1:62" ht="12.75">
      <c r="A142" s="4" t="s">
        <v>83</v>
      </c>
      <c r="B142" s="4"/>
      <c r="C142" s="4" t="s">
        <v>203</v>
      </c>
      <c r="D142" s="4" t="s">
        <v>374</v>
      </c>
      <c r="E142" s="4" t="s">
        <v>448</v>
      </c>
      <c r="F142" s="17">
        <v>1</v>
      </c>
      <c r="G142" s="17"/>
      <c r="H142" s="17">
        <f>F142*AO142</f>
        <v>0</v>
      </c>
      <c r="I142" s="17">
        <f>F142*AP142</f>
        <v>0</v>
      </c>
      <c r="J142" s="17">
        <f>F142*G142</f>
        <v>0</v>
      </c>
      <c r="K142" s="17">
        <v>0.002</v>
      </c>
      <c r="L142" s="17">
        <f>F142*K142</f>
        <v>0.002</v>
      </c>
      <c r="M142" s="29"/>
      <c r="Z142" s="34">
        <f>IF(AQ142="5",BJ142,0)</f>
        <v>0</v>
      </c>
      <c r="AB142" s="34">
        <f>IF(AQ142="1",BH142,0)</f>
        <v>0</v>
      </c>
      <c r="AC142" s="34">
        <f>IF(AQ142="1",BI142,0)</f>
        <v>0</v>
      </c>
      <c r="AD142" s="34">
        <f>IF(AQ142="7",BH142,0)</f>
        <v>0</v>
      </c>
      <c r="AE142" s="34">
        <f>IF(AQ142="7",BI142,0)</f>
        <v>0</v>
      </c>
      <c r="AF142" s="34">
        <f>IF(AQ142="2",BH142,0)</f>
        <v>0</v>
      </c>
      <c r="AG142" s="34">
        <f>IF(AQ142="2",BI142,0)</f>
        <v>0</v>
      </c>
      <c r="AH142" s="34">
        <f>IF(AQ142="0",BJ142,0)</f>
        <v>0</v>
      </c>
      <c r="AI142" s="26"/>
      <c r="AJ142" s="17">
        <f>IF(AN142=0,J142,0)</f>
        <v>0</v>
      </c>
      <c r="AK142" s="17">
        <f>IF(AN142=15,J142,0)</f>
        <v>0</v>
      </c>
      <c r="AL142" s="17">
        <f>IF(AN142=21,J142,0)</f>
        <v>0</v>
      </c>
      <c r="AN142" s="34">
        <v>21</v>
      </c>
      <c r="AO142" s="34">
        <f>G142*0.740777809551044</f>
        <v>0</v>
      </c>
      <c r="AP142" s="34">
        <f>G142*(1-0.740777809551044)</f>
        <v>0</v>
      </c>
      <c r="AQ142" s="29" t="s">
        <v>7</v>
      </c>
      <c r="AV142" s="34">
        <f>AW142+AX142</f>
        <v>0</v>
      </c>
      <c r="AW142" s="34">
        <f>F142*AO142</f>
        <v>0</v>
      </c>
      <c r="AX142" s="34">
        <f>F142*AP142</f>
        <v>0</v>
      </c>
      <c r="AY142" s="35" t="s">
        <v>504</v>
      </c>
      <c r="AZ142" s="35" t="s">
        <v>528</v>
      </c>
      <c r="BA142" s="26" t="s">
        <v>531</v>
      </c>
      <c r="BC142" s="34">
        <f>AW142+AX142</f>
        <v>0</v>
      </c>
      <c r="BD142" s="34">
        <f>G142/(100-BE142)*100</f>
        <v>0</v>
      </c>
      <c r="BE142" s="34">
        <v>0</v>
      </c>
      <c r="BF142" s="34">
        <f>L142</f>
        <v>0.002</v>
      </c>
      <c r="BH142" s="17">
        <f>F142*AO142</f>
        <v>0</v>
      </c>
      <c r="BI142" s="17">
        <f>F142*AP142</f>
        <v>0</v>
      </c>
      <c r="BJ142" s="17">
        <f>F142*G142</f>
        <v>0</v>
      </c>
    </row>
    <row r="143" ht="12.75">
      <c r="D143" s="15" t="s">
        <v>369</v>
      </c>
    </row>
    <row r="144" spans="1:62" ht="12.75">
      <c r="A144" s="4" t="s">
        <v>84</v>
      </c>
      <c r="B144" s="4"/>
      <c r="C144" s="4" t="s">
        <v>204</v>
      </c>
      <c r="D144" s="4" t="s">
        <v>375</v>
      </c>
      <c r="E144" s="4" t="s">
        <v>448</v>
      </c>
      <c r="F144" s="17">
        <v>26</v>
      </c>
      <c r="G144" s="17"/>
      <c r="H144" s="17">
        <f>F144*AO144</f>
        <v>0</v>
      </c>
      <c r="I144" s="17">
        <f>F144*AP144</f>
        <v>0</v>
      </c>
      <c r="J144" s="17">
        <f>F144*G144</f>
        <v>0</v>
      </c>
      <c r="K144" s="17">
        <v>0.0005</v>
      </c>
      <c r="L144" s="17">
        <f>F144*K144</f>
        <v>0.013000000000000001</v>
      </c>
      <c r="M144" s="29"/>
      <c r="Z144" s="34">
        <f>IF(AQ144="5",BJ144,0)</f>
        <v>0</v>
      </c>
      <c r="AB144" s="34">
        <f>IF(AQ144="1",BH144,0)</f>
        <v>0</v>
      </c>
      <c r="AC144" s="34">
        <f>IF(AQ144="1",BI144,0)</f>
        <v>0</v>
      </c>
      <c r="AD144" s="34">
        <f>IF(AQ144="7",BH144,0)</f>
        <v>0</v>
      </c>
      <c r="AE144" s="34">
        <f>IF(AQ144="7",BI144,0)</f>
        <v>0</v>
      </c>
      <c r="AF144" s="34">
        <f>IF(AQ144="2",BH144,0)</f>
        <v>0</v>
      </c>
      <c r="AG144" s="34">
        <f>IF(AQ144="2",BI144,0)</f>
        <v>0</v>
      </c>
      <c r="AH144" s="34">
        <f>IF(AQ144="0",BJ144,0)</f>
        <v>0</v>
      </c>
      <c r="AI144" s="26"/>
      <c r="AJ144" s="17">
        <f>IF(AN144=0,J144,0)</f>
        <v>0</v>
      </c>
      <c r="AK144" s="17">
        <f>IF(AN144=15,J144,0)</f>
        <v>0</v>
      </c>
      <c r="AL144" s="17">
        <f>IF(AN144=21,J144,0)</f>
        <v>0</v>
      </c>
      <c r="AN144" s="34">
        <v>21</v>
      </c>
      <c r="AO144" s="34">
        <f>G144*0.742081447963801</f>
        <v>0</v>
      </c>
      <c r="AP144" s="34">
        <f>G144*(1-0.742081447963801)</f>
        <v>0</v>
      </c>
      <c r="AQ144" s="29" t="s">
        <v>7</v>
      </c>
      <c r="AV144" s="34">
        <f>AW144+AX144</f>
        <v>0</v>
      </c>
      <c r="AW144" s="34">
        <f>F144*AO144</f>
        <v>0</v>
      </c>
      <c r="AX144" s="34">
        <f>F144*AP144</f>
        <v>0</v>
      </c>
      <c r="AY144" s="35" t="s">
        <v>504</v>
      </c>
      <c r="AZ144" s="35" t="s">
        <v>528</v>
      </c>
      <c r="BA144" s="26" t="s">
        <v>531</v>
      </c>
      <c r="BC144" s="34">
        <f>AW144+AX144</f>
        <v>0</v>
      </c>
      <c r="BD144" s="34">
        <f>G144/(100-BE144)*100</f>
        <v>0</v>
      </c>
      <c r="BE144" s="34">
        <v>0</v>
      </c>
      <c r="BF144" s="34">
        <f>L144</f>
        <v>0.013000000000000001</v>
      </c>
      <c r="BH144" s="17">
        <f>F144*AO144</f>
        <v>0</v>
      </c>
      <c r="BI144" s="17">
        <f>F144*AP144</f>
        <v>0</v>
      </c>
      <c r="BJ144" s="17">
        <f>F144*G144</f>
        <v>0</v>
      </c>
    </row>
    <row r="145" ht="12.75">
      <c r="D145" s="15" t="s">
        <v>369</v>
      </c>
    </row>
    <row r="146" spans="1:62" ht="12.75">
      <c r="A146" s="4" t="s">
        <v>85</v>
      </c>
      <c r="B146" s="4"/>
      <c r="C146" s="4" t="s">
        <v>205</v>
      </c>
      <c r="D146" s="4" t="s">
        <v>376</v>
      </c>
      <c r="E146" s="4" t="s">
        <v>448</v>
      </c>
      <c r="F146" s="17">
        <v>8</v>
      </c>
      <c r="G146" s="17"/>
      <c r="H146" s="17">
        <f>F146*AO146</f>
        <v>0</v>
      </c>
      <c r="I146" s="17">
        <f>F146*AP146</f>
        <v>0</v>
      </c>
      <c r="J146" s="17">
        <f>F146*G146</f>
        <v>0</v>
      </c>
      <c r="K146" s="17">
        <v>0.0005</v>
      </c>
      <c r="L146" s="17">
        <f>F146*K146</f>
        <v>0.004</v>
      </c>
      <c r="M146" s="29"/>
      <c r="Z146" s="34">
        <f>IF(AQ146="5",BJ146,0)</f>
        <v>0</v>
      </c>
      <c r="AB146" s="34">
        <f>IF(AQ146="1",BH146,0)</f>
        <v>0</v>
      </c>
      <c r="AC146" s="34">
        <f>IF(AQ146="1",BI146,0)</f>
        <v>0</v>
      </c>
      <c r="AD146" s="34">
        <f>IF(AQ146="7",BH146,0)</f>
        <v>0</v>
      </c>
      <c r="AE146" s="34">
        <f>IF(AQ146="7",BI146,0)</f>
        <v>0</v>
      </c>
      <c r="AF146" s="34">
        <f>IF(AQ146="2",BH146,0)</f>
        <v>0</v>
      </c>
      <c r="AG146" s="34">
        <f>IF(AQ146="2",BI146,0)</f>
        <v>0</v>
      </c>
      <c r="AH146" s="34">
        <f>IF(AQ146="0",BJ146,0)</f>
        <v>0</v>
      </c>
      <c r="AI146" s="26"/>
      <c r="AJ146" s="17">
        <f>IF(AN146=0,J146,0)</f>
        <v>0</v>
      </c>
      <c r="AK146" s="17">
        <f>IF(AN146=15,J146,0)</f>
        <v>0</v>
      </c>
      <c r="AL146" s="17">
        <f>IF(AN146=21,J146,0)</f>
        <v>0</v>
      </c>
      <c r="AN146" s="34">
        <v>21</v>
      </c>
      <c r="AO146" s="34">
        <f>G146*0.741071428571429</f>
        <v>0</v>
      </c>
      <c r="AP146" s="34">
        <f>G146*(1-0.741071428571429)</f>
        <v>0</v>
      </c>
      <c r="AQ146" s="29" t="s">
        <v>7</v>
      </c>
      <c r="AV146" s="34">
        <f>AW146+AX146</f>
        <v>0</v>
      </c>
      <c r="AW146" s="34">
        <f>F146*AO146</f>
        <v>0</v>
      </c>
      <c r="AX146" s="34">
        <f>F146*AP146</f>
        <v>0</v>
      </c>
      <c r="AY146" s="35" t="s">
        <v>504</v>
      </c>
      <c r="AZ146" s="35" t="s">
        <v>528</v>
      </c>
      <c r="BA146" s="26" t="s">
        <v>531</v>
      </c>
      <c r="BC146" s="34">
        <f>AW146+AX146</f>
        <v>0</v>
      </c>
      <c r="BD146" s="34">
        <f>G146/(100-BE146)*100</f>
        <v>0</v>
      </c>
      <c r="BE146" s="34">
        <v>0</v>
      </c>
      <c r="BF146" s="34">
        <f>L146</f>
        <v>0.004</v>
      </c>
      <c r="BH146" s="17">
        <f>F146*AO146</f>
        <v>0</v>
      </c>
      <c r="BI146" s="17">
        <f>F146*AP146</f>
        <v>0</v>
      </c>
      <c r="BJ146" s="17">
        <f>F146*G146</f>
        <v>0</v>
      </c>
    </row>
    <row r="147" ht="12.75">
      <c r="D147" s="15" t="s">
        <v>369</v>
      </c>
    </row>
    <row r="148" spans="1:62" ht="12.75">
      <c r="A148" s="4" t="s">
        <v>86</v>
      </c>
      <c r="B148" s="4"/>
      <c r="C148" s="4" t="s">
        <v>206</v>
      </c>
      <c r="D148" s="4" t="s">
        <v>377</v>
      </c>
      <c r="E148" s="4" t="s">
        <v>448</v>
      </c>
      <c r="F148" s="17">
        <v>4</v>
      </c>
      <c r="G148" s="17"/>
      <c r="H148" s="17">
        <f>F148*AO148</f>
        <v>0</v>
      </c>
      <c r="I148" s="17">
        <f>F148*AP148</f>
        <v>0</v>
      </c>
      <c r="J148" s="17">
        <f>F148*G148</f>
        <v>0</v>
      </c>
      <c r="K148" s="17">
        <v>0.0005</v>
      </c>
      <c r="L148" s="17">
        <f>F148*K148</f>
        <v>0.002</v>
      </c>
      <c r="M148" s="29"/>
      <c r="Z148" s="34">
        <f>IF(AQ148="5",BJ148,0)</f>
        <v>0</v>
      </c>
      <c r="AB148" s="34">
        <f>IF(AQ148="1",BH148,0)</f>
        <v>0</v>
      </c>
      <c r="AC148" s="34">
        <f>IF(AQ148="1",BI148,0)</f>
        <v>0</v>
      </c>
      <c r="AD148" s="34">
        <f>IF(AQ148="7",BH148,0)</f>
        <v>0</v>
      </c>
      <c r="AE148" s="34">
        <f>IF(AQ148="7",BI148,0)</f>
        <v>0</v>
      </c>
      <c r="AF148" s="34">
        <f>IF(AQ148="2",BH148,0)</f>
        <v>0</v>
      </c>
      <c r="AG148" s="34">
        <f>IF(AQ148="2",BI148,0)</f>
        <v>0</v>
      </c>
      <c r="AH148" s="34">
        <f>IF(AQ148="0",BJ148,0)</f>
        <v>0</v>
      </c>
      <c r="AI148" s="26"/>
      <c r="AJ148" s="17">
        <f>IF(AN148=0,J148,0)</f>
        <v>0</v>
      </c>
      <c r="AK148" s="17">
        <f>IF(AN148=15,J148,0)</f>
        <v>0</v>
      </c>
      <c r="AL148" s="17">
        <f>IF(AN148=21,J148,0)</f>
        <v>0</v>
      </c>
      <c r="AN148" s="34">
        <v>21</v>
      </c>
      <c r="AO148" s="34">
        <f>G148*0.7375</f>
        <v>0</v>
      </c>
      <c r="AP148" s="34">
        <f>G148*(1-0.7375)</f>
        <v>0</v>
      </c>
      <c r="AQ148" s="29" t="s">
        <v>7</v>
      </c>
      <c r="AV148" s="34">
        <f>AW148+AX148</f>
        <v>0</v>
      </c>
      <c r="AW148" s="34">
        <f>F148*AO148</f>
        <v>0</v>
      </c>
      <c r="AX148" s="34">
        <f>F148*AP148</f>
        <v>0</v>
      </c>
      <c r="AY148" s="35" t="s">
        <v>504</v>
      </c>
      <c r="AZ148" s="35" t="s">
        <v>528</v>
      </c>
      <c r="BA148" s="26" t="s">
        <v>531</v>
      </c>
      <c r="BC148" s="34">
        <f>AW148+AX148</f>
        <v>0</v>
      </c>
      <c r="BD148" s="34">
        <f>G148/(100-BE148)*100</f>
        <v>0</v>
      </c>
      <c r="BE148" s="34">
        <v>0</v>
      </c>
      <c r="BF148" s="34">
        <f>L148</f>
        <v>0.002</v>
      </c>
      <c r="BH148" s="17">
        <f>F148*AO148</f>
        <v>0</v>
      </c>
      <c r="BI148" s="17">
        <f>F148*AP148</f>
        <v>0</v>
      </c>
      <c r="BJ148" s="17">
        <f>F148*G148</f>
        <v>0</v>
      </c>
    </row>
    <row r="149" ht="12.75">
      <c r="D149" s="15" t="s">
        <v>369</v>
      </c>
    </row>
    <row r="150" spans="1:62" ht="12.75">
      <c r="A150" s="4" t="s">
        <v>87</v>
      </c>
      <c r="B150" s="4"/>
      <c r="C150" s="4" t="s">
        <v>207</v>
      </c>
      <c r="D150" s="4" t="s">
        <v>378</v>
      </c>
      <c r="E150" s="4" t="s">
        <v>448</v>
      </c>
      <c r="F150" s="17">
        <v>6</v>
      </c>
      <c r="G150" s="17"/>
      <c r="H150" s="17">
        <f>F150*AO150</f>
        <v>0</v>
      </c>
      <c r="I150" s="17">
        <f>F150*AP150</f>
        <v>0</v>
      </c>
      <c r="J150" s="17">
        <f>F150*G150</f>
        <v>0</v>
      </c>
      <c r="K150" s="17">
        <v>0.015</v>
      </c>
      <c r="L150" s="17">
        <f>F150*K150</f>
        <v>0.09</v>
      </c>
      <c r="M150" s="29"/>
      <c r="Z150" s="34">
        <f>IF(AQ150="5",BJ150,0)</f>
        <v>0</v>
      </c>
      <c r="AB150" s="34">
        <f>IF(AQ150="1",BH150,0)</f>
        <v>0</v>
      </c>
      <c r="AC150" s="34">
        <f>IF(AQ150="1",BI150,0)</f>
        <v>0</v>
      </c>
      <c r="AD150" s="34">
        <f>IF(AQ150="7",BH150,0)</f>
        <v>0</v>
      </c>
      <c r="AE150" s="34">
        <f>IF(AQ150="7",BI150,0)</f>
        <v>0</v>
      </c>
      <c r="AF150" s="34">
        <f>IF(AQ150="2",BH150,0)</f>
        <v>0</v>
      </c>
      <c r="AG150" s="34">
        <f>IF(AQ150="2",BI150,0)</f>
        <v>0</v>
      </c>
      <c r="AH150" s="34">
        <f>IF(AQ150="0",BJ150,0)</f>
        <v>0</v>
      </c>
      <c r="AI150" s="26"/>
      <c r="AJ150" s="17">
        <f>IF(AN150=0,J150,0)</f>
        <v>0</v>
      </c>
      <c r="AK150" s="17">
        <f>IF(AN150=15,J150,0)</f>
        <v>0</v>
      </c>
      <c r="AL150" s="17">
        <f>IF(AN150=21,J150,0)</f>
        <v>0</v>
      </c>
      <c r="AN150" s="34">
        <v>21</v>
      </c>
      <c r="AO150" s="34">
        <f>G150*0.740686632578525</f>
        <v>0</v>
      </c>
      <c r="AP150" s="34">
        <f>G150*(1-0.740686632578525)</f>
        <v>0</v>
      </c>
      <c r="AQ150" s="29" t="s">
        <v>7</v>
      </c>
      <c r="AV150" s="34">
        <f>AW150+AX150</f>
        <v>0</v>
      </c>
      <c r="AW150" s="34">
        <f>F150*AO150</f>
        <v>0</v>
      </c>
      <c r="AX150" s="34">
        <f>F150*AP150</f>
        <v>0</v>
      </c>
      <c r="AY150" s="35" t="s">
        <v>504</v>
      </c>
      <c r="AZ150" s="35" t="s">
        <v>528</v>
      </c>
      <c r="BA150" s="26" t="s">
        <v>531</v>
      </c>
      <c r="BC150" s="34">
        <f>AW150+AX150</f>
        <v>0</v>
      </c>
      <c r="BD150" s="34">
        <f>G150/(100-BE150)*100</f>
        <v>0</v>
      </c>
      <c r="BE150" s="34">
        <v>0</v>
      </c>
      <c r="BF150" s="34">
        <f>L150</f>
        <v>0.09</v>
      </c>
      <c r="BH150" s="17">
        <f>F150*AO150</f>
        <v>0</v>
      </c>
      <c r="BI150" s="17">
        <f>F150*AP150</f>
        <v>0</v>
      </c>
      <c r="BJ150" s="17">
        <f>F150*G150</f>
        <v>0</v>
      </c>
    </row>
    <row r="151" ht="12.75">
      <c r="D151" s="15" t="s">
        <v>369</v>
      </c>
    </row>
    <row r="152" spans="1:62" ht="12.75">
      <c r="A152" s="4" t="s">
        <v>88</v>
      </c>
      <c r="B152" s="4"/>
      <c r="C152" s="4" t="s">
        <v>208</v>
      </c>
      <c r="D152" s="4" t="s">
        <v>379</v>
      </c>
      <c r="E152" s="4" t="s">
        <v>448</v>
      </c>
      <c r="F152" s="17">
        <v>6</v>
      </c>
      <c r="G152" s="17"/>
      <c r="H152" s="17">
        <f>F152*AO152</f>
        <v>0</v>
      </c>
      <c r="I152" s="17">
        <f>F152*AP152</f>
        <v>0</v>
      </c>
      <c r="J152" s="17">
        <f>F152*G152</f>
        <v>0</v>
      </c>
      <c r="K152" s="17">
        <v>0.025</v>
      </c>
      <c r="L152" s="17">
        <f>F152*K152</f>
        <v>0.15000000000000002</v>
      </c>
      <c r="M152" s="29"/>
      <c r="Z152" s="34">
        <f>IF(AQ152="5",BJ152,0)</f>
        <v>0</v>
      </c>
      <c r="AB152" s="34">
        <f>IF(AQ152="1",BH152,0)</f>
        <v>0</v>
      </c>
      <c r="AC152" s="34">
        <f>IF(AQ152="1",BI152,0)</f>
        <v>0</v>
      </c>
      <c r="AD152" s="34">
        <f>IF(AQ152="7",BH152,0)</f>
        <v>0</v>
      </c>
      <c r="AE152" s="34">
        <f>IF(AQ152="7",BI152,0)</f>
        <v>0</v>
      </c>
      <c r="AF152" s="34">
        <f>IF(AQ152="2",BH152,0)</f>
        <v>0</v>
      </c>
      <c r="AG152" s="34">
        <f>IF(AQ152="2",BI152,0)</f>
        <v>0</v>
      </c>
      <c r="AH152" s="34">
        <f>IF(AQ152="0",BJ152,0)</f>
        <v>0</v>
      </c>
      <c r="AI152" s="26"/>
      <c r="AJ152" s="17">
        <f>IF(AN152=0,J152,0)</f>
        <v>0</v>
      </c>
      <c r="AK152" s="17">
        <f>IF(AN152=15,J152,0)</f>
        <v>0</v>
      </c>
      <c r="AL152" s="17">
        <f>IF(AN152=21,J152,0)</f>
        <v>0</v>
      </c>
      <c r="AN152" s="34">
        <v>21</v>
      </c>
      <c r="AO152" s="34">
        <f>G152*0.740810556079171</f>
        <v>0</v>
      </c>
      <c r="AP152" s="34">
        <f>G152*(1-0.740810556079171)</f>
        <v>0</v>
      </c>
      <c r="AQ152" s="29" t="s">
        <v>7</v>
      </c>
      <c r="AV152" s="34">
        <f>AW152+AX152</f>
        <v>0</v>
      </c>
      <c r="AW152" s="34">
        <f>F152*AO152</f>
        <v>0</v>
      </c>
      <c r="AX152" s="34">
        <f>F152*AP152</f>
        <v>0</v>
      </c>
      <c r="AY152" s="35" t="s">
        <v>504</v>
      </c>
      <c r="AZ152" s="35" t="s">
        <v>528</v>
      </c>
      <c r="BA152" s="26" t="s">
        <v>531</v>
      </c>
      <c r="BC152" s="34">
        <f>AW152+AX152</f>
        <v>0</v>
      </c>
      <c r="BD152" s="34">
        <f>G152/(100-BE152)*100</f>
        <v>0</v>
      </c>
      <c r="BE152" s="34">
        <v>0</v>
      </c>
      <c r="BF152" s="34">
        <f>L152</f>
        <v>0.15000000000000002</v>
      </c>
      <c r="BH152" s="17">
        <f>F152*AO152</f>
        <v>0</v>
      </c>
      <c r="BI152" s="17">
        <f>F152*AP152</f>
        <v>0</v>
      </c>
      <c r="BJ152" s="17">
        <f>F152*G152</f>
        <v>0</v>
      </c>
    </row>
    <row r="153" ht="12.75">
      <c r="D153" s="15" t="s">
        <v>369</v>
      </c>
    </row>
    <row r="154" spans="1:62" ht="12.75">
      <c r="A154" s="4" t="s">
        <v>89</v>
      </c>
      <c r="B154" s="4"/>
      <c r="C154" s="4" t="s">
        <v>209</v>
      </c>
      <c r="D154" s="4" t="s">
        <v>380</v>
      </c>
      <c r="E154" s="4" t="s">
        <v>448</v>
      </c>
      <c r="F154" s="17">
        <v>6</v>
      </c>
      <c r="G154" s="17"/>
      <c r="H154" s="17">
        <f>F154*AO154</f>
        <v>0</v>
      </c>
      <c r="I154" s="17">
        <f>F154*AP154</f>
        <v>0</v>
      </c>
      <c r="J154" s="17">
        <f>F154*G154</f>
        <v>0</v>
      </c>
      <c r="K154" s="17">
        <v>0.055</v>
      </c>
      <c r="L154" s="17">
        <f>F154*K154</f>
        <v>0.33</v>
      </c>
      <c r="M154" s="29"/>
      <c r="Z154" s="34">
        <f>IF(AQ154="5",BJ154,0)</f>
        <v>0</v>
      </c>
      <c r="AB154" s="34">
        <f>IF(AQ154="1",BH154,0)</f>
        <v>0</v>
      </c>
      <c r="AC154" s="34">
        <f>IF(AQ154="1",BI154,0)</f>
        <v>0</v>
      </c>
      <c r="AD154" s="34">
        <f>IF(AQ154="7",BH154,0)</f>
        <v>0</v>
      </c>
      <c r="AE154" s="34">
        <f>IF(AQ154="7",BI154,0)</f>
        <v>0</v>
      </c>
      <c r="AF154" s="34">
        <f>IF(AQ154="2",BH154,0)</f>
        <v>0</v>
      </c>
      <c r="AG154" s="34">
        <f>IF(AQ154="2",BI154,0)</f>
        <v>0</v>
      </c>
      <c r="AH154" s="34">
        <f>IF(AQ154="0",BJ154,0)</f>
        <v>0</v>
      </c>
      <c r="AI154" s="26"/>
      <c r="AJ154" s="17">
        <f>IF(AN154=0,J154,0)</f>
        <v>0</v>
      </c>
      <c r="AK154" s="17">
        <f>IF(AN154=15,J154,0)</f>
        <v>0</v>
      </c>
      <c r="AL154" s="17">
        <f>IF(AN154=21,J154,0)</f>
        <v>0</v>
      </c>
      <c r="AN154" s="34">
        <v>21</v>
      </c>
      <c r="AO154" s="34">
        <f>G154*0.740740740740741</f>
        <v>0</v>
      </c>
      <c r="AP154" s="34">
        <f>G154*(1-0.740740740740741)</f>
        <v>0</v>
      </c>
      <c r="AQ154" s="29" t="s">
        <v>7</v>
      </c>
      <c r="AV154" s="34">
        <f>AW154+AX154</f>
        <v>0</v>
      </c>
      <c r="AW154" s="34">
        <f>F154*AO154</f>
        <v>0</v>
      </c>
      <c r="AX154" s="34">
        <f>F154*AP154</f>
        <v>0</v>
      </c>
      <c r="AY154" s="35" t="s">
        <v>504</v>
      </c>
      <c r="AZ154" s="35" t="s">
        <v>528</v>
      </c>
      <c r="BA154" s="26" t="s">
        <v>531</v>
      </c>
      <c r="BC154" s="34">
        <f>AW154+AX154</f>
        <v>0</v>
      </c>
      <c r="BD154" s="34">
        <f>G154/(100-BE154)*100</f>
        <v>0</v>
      </c>
      <c r="BE154" s="34">
        <v>0</v>
      </c>
      <c r="BF154" s="34">
        <f>L154</f>
        <v>0.33</v>
      </c>
      <c r="BH154" s="17">
        <f>F154*AO154</f>
        <v>0</v>
      </c>
      <c r="BI154" s="17">
        <f>F154*AP154</f>
        <v>0</v>
      </c>
      <c r="BJ154" s="17">
        <f>F154*G154</f>
        <v>0</v>
      </c>
    </row>
    <row r="155" ht="12.75">
      <c r="D155" s="15" t="s">
        <v>369</v>
      </c>
    </row>
    <row r="156" spans="1:62" ht="12.75">
      <c r="A156" s="4" t="s">
        <v>90</v>
      </c>
      <c r="B156" s="4"/>
      <c r="C156" s="4" t="s">
        <v>210</v>
      </c>
      <c r="D156" s="4" t="s">
        <v>381</v>
      </c>
      <c r="E156" s="4" t="s">
        <v>439</v>
      </c>
      <c r="F156" s="17">
        <v>0</v>
      </c>
      <c r="G156" s="17"/>
      <c r="H156" s="17">
        <f>F156*AO156</f>
        <v>0</v>
      </c>
      <c r="I156" s="17">
        <f>F156*AP156</f>
        <v>0</v>
      </c>
      <c r="J156" s="17">
        <f>F156*G156</f>
        <v>0</v>
      </c>
      <c r="K156" s="17">
        <v>0</v>
      </c>
      <c r="L156" s="17">
        <f>F156*K156</f>
        <v>0</v>
      </c>
      <c r="M156" s="29"/>
      <c r="Z156" s="34">
        <f>IF(AQ156="5",BJ156,0)</f>
        <v>0</v>
      </c>
      <c r="AB156" s="34">
        <f>IF(AQ156="1",BH156,0)</f>
        <v>0</v>
      </c>
      <c r="AC156" s="34">
        <f>IF(AQ156="1",BI156,0)</f>
        <v>0</v>
      </c>
      <c r="AD156" s="34">
        <f>IF(AQ156="7",BH156,0)</f>
        <v>0</v>
      </c>
      <c r="AE156" s="34">
        <f>IF(AQ156="7",BI156,0)</f>
        <v>0</v>
      </c>
      <c r="AF156" s="34">
        <f>IF(AQ156="2",BH156,0)</f>
        <v>0</v>
      </c>
      <c r="AG156" s="34">
        <f>IF(AQ156="2",BI156,0)</f>
        <v>0</v>
      </c>
      <c r="AH156" s="34">
        <f>IF(AQ156="0",BJ156,0)</f>
        <v>0</v>
      </c>
      <c r="AI156" s="26"/>
      <c r="AJ156" s="17">
        <f>IF(AN156=0,J156,0)</f>
        <v>0</v>
      </c>
      <c r="AK156" s="17">
        <f>IF(AN156=15,J156,0)</f>
        <v>0</v>
      </c>
      <c r="AL156" s="17">
        <f>IF(AN156=21,J156,0)</f>
        <v>0</v>
      </c>
      <c r="AN156" s="34">
        <v>21</v>
      </c>
      <c r="AO156" s="34">
        <f>G156*0</f>
        <v>0</v>
      </c>
      <c r="AP156" s="34">
        <f>G156*(1-0)</f>
        <v>0</v>
      </c>
      <c r="AQ156" s="29" t="s">
        <v>7</v>
      </c>
      <c r="AV156" s="34">
        <f>AW156+AX156</f>
        <v>0</v>
      </c>
      <c r="AW156" s="34">
        <f>F156*AO156</f>
        <v>0</v>
      </c>
      <c r="AX156" s="34">
        <f>F156*AP156</f>
        <v>0</v>
      </c>
      <c r="AY156" s="35" t="s">
        <v>504</v>
      </c>
      <c r="AZ156" s="35" t="s">
        <v>528</v>
      </c>
      <c r="BA156" s="26" t="s">
        <v>531</v>
      </c>
      <c r="BC156" s="34">
        <f>AW156+AX156</f>
        <v>0</v>
      </c>
      <c r="BD156" s="34">
        <f>G156/(100-BE156)*100</f>
        <v>0</v>
      </c>
      <c r="BE156" s="34">
        <v>0</v>
      </c>
      <c r="BF156" s="34">
        <f>L156</f>
        <v>0</v>
      </c>
      <c r="BH156" s="17">
        <f>F156*AO156</f>
        <v>0</v>
      </c>
      <c r="BI156" s="17">
        <f>F156*AP156</f>
        <v>0</v>
      </c>
      <c r="BJ156" s="17">
        <f>F156*G156</f>
        <v>0</v>
      </c>
    </row>
    <row r="157" spans="1:47" ht="12.75">
      <c r="A157" s="5"/>
      <c r="B157" s="13"/>
      <c r="C157" s="13" t="s">
        <v>95</v>
      </c>
      <c r="D157" s="13" t="s">
        <v>382</v>
      </c>
      <c r="E157" s="5" t="s">
        <v>6</v>
      </c>
      <c r="F157" s="5" t="s">
        <v>6</v>
      </c>
      <c r="G157" s="5" t="s">
        <v>6</v>
      </c>
      <c r="H157" s="37">
        <f>SUM(H158:H159)</f>
        <v>0</v>
      </c>
      <c r="I157" s="37">
        <f>SUM(I158:I159)</f>
        <v>0</v>
      </c>
      <c r="J157" s="37">
        <f>SUM(J158:J159)</f>
        <v>0</v>
      </c>
      <c r="K157" s="26"/>
      <c r="L157" s="37">
        <f>SUM(L158:L159)</f>
        <v>0.74138</v>
      </c>
      <c r="M157" s="26"/>
      <c r="AI157" s="26"/>
      <c r="AS157" s="37">
        <f>SUM(AJ158:AJ159)</f>
        <v>0</v>
      </c>
      <c r="AT157" s="37">
        <f>SUM(AK158:AK159)</f>
        <v>0</v>
      </c>
      <c r="AU157" s="37">
        <f>SUM(AL158:AL159)</f>
        <v>0</v>
      </c>
    </row>
    <row r="158" spans="1:62" ht="12.75">
      <c r="A158" s="4" t="s">
        <v>91</v>
      </c>
      <c r="B158" s="4"/>
      <c r="C158" s="4" t="s">
        <v>211</v>
      </c>
      <c r="D158" s="4" t="s">
        <v>383</v>
      </c>
      <c r="E158" s="4" t="s">
        <v>448</v>
      </c>
      <c r="F158" s="17">
        <v>6</v>
      </c>
      <c r="G158" s="17"/>
      <c r="H158" s="17">
        <f>F158*AO158</f>
        <v>0</v>
      </c>
      <c r="I158" s="17">
        <f>F158*AP158</f>
        <v>0</v>
      </c>
      <c r="J158" s="17">
        <f>F158*G158</f>
        <v>0</v>
      </c>
      <c r="K158" s="17">
        <v>0.12303</v>
      </c>
      <c r="L158" s="17">
        <f>F158*K158</f>
        <v>0.7381800000000001</v>
      </c>
      <c r="M158" s="29"/>
      <c r="Z158" s="34">
        <f>IF(AQ158="5",BJ158,0)</f>
        <v>0</v>
      </c>
      <c r="AB158" s="34">
        <f>IF(AQ158="1",BH158,0)</f>
        <v>0</v>
      </c>
      <c r="AC158" s="34">
        <f>IF(AQ158="1",BI158,0)</f>
        <v>0</v>
      </c>
      <c r="AD158" s="34">
        <f>IF(AQ158="7",BH158,0)</f>
        <v>0</v>
      </c>
      <c r="AE158" s="34">
        <f>IF(AQ158="7",BI158,0)</f>
        <v>0</v>
      </c>
      <c r="AF158" s="34">
        <f>IF(AQ158="2",BH158,0)</f>
        <v>0</v>
      </c>
      <c r="AG158" s="34">
        <f>IF(AQ158="2",BI158,0)</f>
        <v>0</v>
      </c>
      <c r="AH158" s="34">
        <f>IF(AQ158="0",BJ158,0)</f>
        <v>0</v>
      </c>
      <c r="AI158" s="26"/>
      <c r="AJ158" s="17">
        <f>IF(AN158=0,J158,0)</f>
        <v>0</v>
      </c>
      <c r="AK158" s="17">
        <f>IF(AN158=15,J158,0)</f>
        <v>0</v>
      </c>
      <c r="AL158" s="17">
        <f>IF(AN158=21,J158,0)</f>
        <v>0</v>
      </c>
      <c r="AN158" s="34">
        <v>21</v>
      </c>
      <c r="AO158" s="34">
        <f>G158*0.331204215653007</f>
        <v>0</v>
      </c>
      <c r="AP158" s="34">
        <f>G158*(1-0.331204215653007)</f>
        <v>0</v>
      </c>
      <c r="AQ158" s="29" t="s">
        <v>7</v>
      </c>
      <c r="AV158" s="34">
        <f>AW158+AX158</f>
        <v>0</v>
      </c>
      <c r="AW158" s="34">
        <f>F158*AO158</f>
        <v>0</v>
      </c>
      <c r="AX158" s="34">
        <f>F158*AP158</f>
        <v>0</v>
      </c>
      <c r="AY158" s="35" t="s">
        <v>505</v>
      </c>
      <c r="AZ158" s="35" t="s">
        <v>528</v>
      </c>
      <c r="BA158" s="26" t="s">
        <v>531</v>
      </c>
      <c r="BC158" s="34">
        <f>AW158+AX158</f>
        <v>0</v>
      </c>
      <c r="BD158" s="34">
        <f>G158/(100-BE158)*100</f>
        <v>0</v>
      </c>
      <c r="BE158" s="34">
        <v>0</v>
      </c>
      <c r="BF158" s="34">
        <f>L158</f>
        <v>0.7381800000000001</v>
      </c>
      <c r="BH158" s="17">
        <f>F158*AO158</f>
        <v>0</v>
      </c>
      <c r="BI158" s="17">
        <f>F158*AP158</f>
        <v>0</v>
      </c>
      <c r="BJ158" s="17">
        <f>F158*G158</f>
        <v>0</v>
      </c>
    </row>
    <row r="159" spans="1:62" ht="12.75">
      <c r="A159" s="4" t="s">
        <v>92</v>
      </c>
      <c r="B159" s="4"/>
      <c r="C159" s="4" t="s">
        <v>212</v>
      </c>
      <c r="D159" s="4" t="s">
        <v>384</v>
      </c>
      <c r="E159" s="4" t="s">
        <v>443</v>
      </c>
      <c r="F159" s="17">
        <v>160</v>
      </c>
      <c r="G159" s="17"/>
      <c r="H159" s="17">
        <f>F159*AO159</f>
        <v>0</v>
      </c>
      <c r="I159" s="17">
        <f>F159*AP159</f>
        <v>0</v>
      </c>
      <c r="J159" s="17">
        <f>F159*G159</f>
        <v>0</v>
      </c>
      <c r="K159" s="17">
        <v>2E-05</v>
      </c>
      <c r="L159" s="17">
        <f>F159*K159</f>
        <v>0.0032</v>
      </c>
      <c r="M159" s="29"/>
      <c r="Z159" s="34">
        <f>IF(AQ159="5",BJ159,0)</f>
        <v>0</v>
      </c>
      <c r="AB159" s="34">
        <f>IF(AQ159="1",BH159,0)</f>
        <v>0</v>
      </c>
      <c r="AC159" s="34">
        <f>IF(AQ159="1",BI159,0)</f>
        <v>0</v>
      </c>
      <c r="AD159" s="34">
        <f>IF(AQ159="7",BH159,0)</f>
        <v>0</v>
      </c>
      <c r="AE159" s="34">
        <f>IF(AQ159="7",BI159,0)</f>
        <v>0</v>
      </c>
      <c r="AF159" s="34">
        <f>IF(AQ159="2",BH159,0)</f>
        <v>0</v>
      </c>
      <c r="AG159" s="34">
        <f>IF(AQ159="2",BI159,0)</f>
        <v>0</v>
      </c>
      <c r="AH159" s="34">
        <f>IF(AQ159="0",BJ159,0)</f>
        <v>0</v>
      </c>
      <c r="AI159" s="26"/>
      <c r="AJ159" s="17">
        <f>IF(AN159=0,J159,0)</f>
        <v>0</v>
      </c>
      <c r="AK159" s="17">
        <f>IF(AN159=15,J159,0)</f>
        <v>0</v>
      </c>
      <c r="AL159" s="17">
        <f>IF(AN159=21,J159,0)</f>
        <v>0</v>
      </c>
      <c r="AN159" s="34">
        <v>21</v>
      </c>
      <c r="AO159" s="34">
        <f>G159*0.237753102547355</f>
        <v>0</v>
      </c>
      <c r="AP159" s="34">
        <f>G159*(1-0.237753102547355)</f>
        <v>0</v>
      </c>
      <c r="AQ159" s="29" t="s">
        <v>7</v>
      </c>
      <c r="AV159" s="34">
        <f>AW159+AX159</f>
        <v>0</v>
      </c>
      <c r="AW159" s="34">
        <f>F159*AO159</f>
        <v>0</v>
      </c>
      <c r="AX159" s="34">
        <f>F159*AP159</f>
        <v>0</v>
      </c>
      <c r="AY159" s="35" t="s">
        <v>505</v>
      </c>
      <c r="AZ159" s="35" t="s">
        <v>528</v>
      </c>
      <c r="BA159" s="26" t="s">
        <v>531</v>
      </c>
      <c r="BC159" s="34">
        <f>AW159+AX159</f>
        <v>0</v>
      </c>
      <c r="BD159" s="34">
        <f>G159/(100-BE159)*100</f>
        <v>0</v>
      </c>
      <c r="BE159" s="34">
        <v>0</v>
      </c>
      <c r="BF159" s="34">
        <f>L159</f>
        <v>0.0032</v>
      </c>
      <c r="BH159" s="17">
        <f>F159*AO159</f>
        <v>0</v>
      </c>
      <c r="BI159" s="17">
        <f>F159*AP159</f>
        <v>0</v>
      </c>
      <c r="BJ159" s="17">
        <f>F159*G159</f>
        <v>0</v>
      </c>
    </row>
    <row r="160" spans="1:47" ht="12.75">
      <c r="A160" s="5"/>
      <c r="B160" s="13"/>
      <c r="C160" s="13" t="s">
        <v>97</v>
      </c>
      <c r="D160" s="13" t="s">
        <v>385</v>
      </c>
      <c r="E160" s="5" t="s">
        <v>6</v>
      </c>
      <c r="F160" s="5" t="s">
        <v>6</v>
      </c>
      <c r="G160" s="5" t="s">
        <v>6</v>
      </c>
      <c r="H160" s="37">
        <f>SUM(H161:H163)</f>
        <v>0</v>
      </c>
      <c r="I160" s="37">
        <f>SUM(I161:I163)</f>
        <v>0</v>
      </c>
      <c r="J160" s="37">
        <f>SUM(J161:J163)</f>
        <v>0</v>
      </c>
      <c r="K160" s="26"/>
      <c r="L160" s="37">
        <f>SUM(L161:L163)</f>
        <v>0</v>
      </c>
      <c r="M160" s="26"/>
      <c r="AI160" s="26"/>
      <c r="AS160" s="37">
        <f>SUM(AJ161:AJ163)</f>
        <v>0</v>
      </c>
      <c r="AT160" s="37">
        <f>SUM(AK161:AK163)</f>
        <v>0</v>
      </c>
      <c r="AU160" s="37">
        <f>SUM(AL161:AL163)</f>
        <v>0</v>
      </c>
    </row>
    <row r="161" spans="1:62" ht="12.75">
      <c r="A161" s="4" t="s">
        <v>93</v>
      </c>
      <c r="B161" s="4"/>
      <c r="C161" s="4" t="s">
        <v>213</v>
      </c>
      <c r="D161" s="4" t="s">
        <v>386</v>
      </c>
      <c r="E161" s="4" t="s">
        <v>443</v>
      </c>
      <c r="F161" s="17">
        <v>6</v>
      </c>
      <c r="G161" s="17"/>
      <c r="H161" s="17">
        <f>F161*AO161</f>
        <v>0</v>
      </c>
      <c r="I161" s="17">
        <f>F161*AP161</f>
        <v>0</v>
      </c>
      <c r="J161" s="17">
        <f>F161*G161</f>
        <v>0</v>
      </c>
      <c r="K161" s="17">
        <v>0</v>
      </c>
      <c r="L161" s="17">
        <f>F161*K161</f>
        <v>0</v>
      </c>
      <c r="M161" s="29"/>
      <c r="Z161" s="34">
        <f>IF(AQ161="5",BJ161,0)</f>
        <v>0</v>
      </c>
      <c r="AB161" s="34">
        <f>IF(AQ161="1",BH161,0)</f>
        <v>0</v>
      </c>
      <c r="AC161" s="34">
        <f>IF(AQ161="1",BI161,0)</f>
        <v>0</v>
      </c>
      <c r="AD161" s="34">
        <f>IF(AQ161="7",BH161,0)</f>
        <v>0</v>
      </c>
      <c r="AE161" s="34">
        <f>IF(AQ161="7",BI161,0)</f>
        <v>0</v>
      </c>
      <c r="AF161" s="34">
        <f>IF(AQ161="2",BH161,0)</f>
        <v>0</v>
      </c>
      <c r="AG161" s="34">
        <f>IF(AQ161="2",BI161,0)</f>
        <v>0</v>
      </c>
      <c r="AH161" s="34">
        <f>IF(AQ161="0",BJ161,0)</f>
        <v>0</v>
      </c>
      <c r="AI161" s="26"/>
      <c r="AJ161" s="17">
        <f>IF(AN161=0,J161,0)</f>
        <v>0</v>
      </c>
      <c r="AK161" s="17">
        <f>IF(AN161=15,J161,0)</f>
        <v>0</v>
      </c>
      <c r="AL161" s="17">
        <f>IF(AN161=21,J161,0)</f>
        <v>0</v>
      </c>
      <c r="AN161" s="34">
        <v>21</v>
      </c>
      <c r="AO161" s="34">
        <f>G161*0</f>
        <v>0</v>
      </c>
      <c r="AP161" s="34">
        <f>G161*(1-0)</f>
        <v>0</v>
      </c>
      <c r="AQ161" s="29" t="s">
        <v>7</v>
      </c>
      <c r="AV161" s="34">
        <f>AW161+AX161</f>
        <v>0</v>
      </c>
      <c r="AW161" s="34">
        <f>F161*AO161</f>
        <v>0</v>
      </c>
      <c r="AX161" s="34">
        <f>F161*AP161</f>
        <v>0</v>
      </c>
      <c r="AY161" s="35" t="s">
        <v>506</v>
      </c>
      <c r="AZ161" s="35" t="s">
        <v>529</v>
      </c>
      <c r="BA161" s="26" t="s">
        <v>531</v>
      </c>
      <c r="BC161" s="34">
        <f>AW161+AX161</f>
        <v>0</v>
      </c>
      <c r="BD161" s="34">
        <f>G161/(100-BE161)*100</f>
        <v>0</v>
      </c>
      <c r="BE161" s="34">
        <v>0</v>
      </c>
      <c r="BF161" s="34">
        <f>L161</f>
        <v>0</v>
      </c>
      <c r="BH161" s="17">
        <f>F161*AO161</f>
        <v>0</v>
      </c>
      <c r="BI161" s="17">
        <f>F161*AP161</f>
        <v>0</v>
      </c>
      <c r="BJ161" s="17">
        <f>F161*G161</f>
        <v>0</v>
      </c>
    </row>
    <row r="162" spans="1:62" ht="12.75">
      <c r="A162" s="4" t="s">
        <v>94</v>
      </c>
      <c r="B162" s="4"/>
      <c r="C162" s="4" t="s">
        <v>214</v>
      </c>
      <c r="D162" s="4" t="s">
        <v>387</v>
      </c>
      <c r="E162" s="4" t="s">
        <v>443</v>
      </c>
      <c r="F162" s="17">
        <v>6</v>
      </c>
      <c r="G162" s="17"/>
      <c r="H162" s="17">
        <f>F162*AO162</f>
        <v>0</v>
      </c>
      <c r="I162" s="17">
        <f>F162*AP162</f>
        <v>0</v>
      </c>
      <c r="J162" s="17">
        <f>F162*G162</f>
        <v>0</v>
      </c>
      <c r="K162" s="17">
        <v>0</v>
      </c>
      <c r="L162" s="17">
        <f>F162*K162</f>
        <v>0</v>
      </c>
      <c r="M162" s="29"/>
      <c r="Z162" s="34">
        <f>IF(AQ162="5",BJ162,0)</f>
        <v>0</v>
      </c>
      <c r="AB162" s="34">
        <f>IF(AQ162="1",BH162,0)</f>
        <v>0</v>
      </c>
      <c r="AC162" s="34">
        <f>IF(AQ162="1",BI162,0)</f>
        <v>0</v>
      </c>
      <c r="AD162" s="34">
        <f>IF(AQ162="7",BH162,0)</f>
        <v>0</v>
      </c>
      <c r="AE162" s="34">
        <f>IF(AQ162="7",BI162,0)</f>
        <v>0</v>
      </c>
      <c r="AF162" s="34">
        <f>IF(AQ162="2",BH162,0)</f>
        <v>0</v>
      </c>
      <c r="AG162" s="34">
        <f>IF(AQ162="2",BI162,0)</f>
        <v>0</v>
      </c>
      <c r="AH162" s="34">
        <f>IF(AQ162="0",BJ162,0)</f>
        <v>0</v>
      </c>
      <c r="AI162" s="26"/>
      <c r="AJ162" s="17">
        <f>IF(AN162=0,J162,0)</f>
        <v>0</v>
      </c>
      <c r="AK162" s="17">
        <f>IF(AN162=15,J162,0)</f>
        <v>0</v>
      </c>
      <c r="AL162" s="17">
        <f>IF(AN162=21,J162,0)</f>
        <v>0</v>
      </c>
      <c r="AN162" s="34">
        <v>21</v>
      </c>
      <c r="AO162" s="34">
        <f>G162*0.561097256857855</f>
        <v>0</v>
      </c>
      <c r="AP162" s="34">
        <f>G162*(1-0.561097256857855)</f>
        <v>0</v>
      </c>
      <c r="AQ162" s="29" t="s">
        <v>7</v>
      </c>
      <c r="AV162" s="34">
        <f>AW162+AX162</f>
        <v>0</v>
      </c>
      <c r="AW162" s="34">
        <f>F162*AO162</f>
        <v>0</v>
      </c>
      <c r="AX162" s="34">
        <f>F162*AP162</f>
        <v>0</v>
      </c>
      <c r="AY162" s="35" t="s">
        <v>506</v>
      </c>
      <c r="AZ162" s="35" t="s">
        <v>529</v>
      </c>
      <c r="BA162" s="26" t="s">
        <v>531</v>
      </c>
      <c r="BC162" s="34">
        <f>AW162+AX162</f>
        <v>0</v>
      </c>
      <c r="BD162" s="34">
        <f>G162/(100-BE162)*100</f>
        <v>0</v>
      </c>
      <c r="BE162" s="34">
        <v>0</v>
      </c>
      <c r="BF162" s="34">
        <f>L162</f>
        <v>0</v>
      </c>
      <c r="BH162" s="17">
        <f>F162*AO162</f>
        <v>0</v>
      </c>
      <c r="BI162" s="17">
        <f>F162*AP162</f>
        <v>0</v>
      </c>
      <c r="BJ162" s="17">
        <f>F162*G162</f>
        <v>0</v>
      </c>
    </row>
    <row r="163" spans="1:62" ht="12.75">
      <c r="A163" s="4" t="s">
        <v>95</v>
      </c>
      <c r="B163" s="4"/>
      <c r="C163" s="4" t="s">
        <v>215</v>
      </c>
      <c r="D163" s="4" t="s">
        <v>388</v>
      </c>
      <c r="E163" s="4" t="s">
        <v>443</v>
      </c>
      <c r="F163" s="17">
        <v>4.8</v>
      </c>
      <c r="G163" s="17"/>
      <c r="H163" s="17">
        <f>F163*AO163</f>
        <v>0</v>
      </c>
      <c r="I163" s="17">
        <f>F163*AP163</f>
        <v>0</v>
      </c>
      <c r="J163" s="17">
        <f>F163*G163</f>
        <v>0</v>
      </c>
      <c r="K163" s="17">
        <v>0</v>
      </c>
      <c r="L163" s="17">
        <f>F163*K163</f>
        <v>0</v>
      </c>
      <c r="M163" s="29"/>
      <c r="Z163" s="34">
        <f>IF(AQ163="5",BJ163,0)</f>
        <v>0</v>
      </c>
      <c r="AB163" s="34">
        <f>IF(AQ163="1",BH163,0)</f>
        <v>0</v>
      </c>
      <c r="AC163" s="34">
        <f>IF(AQ163="1",BI163,0)</f>
        <v>0</v>
      </c>
      <c r="AD163" s="34">
        <f>IF(AQ163="7",BH163,0)</f>
        <v>0</v>
      </c>
      <c r="AE163" s="34">
        <f>IF(AQ163="7",BI163,0)</f>
        <v>0</v>
      </c>
      <c r="AF163" s="34">
        <f>IF(AQ163="2",BH163,0)</f>
        <v>0</v>
      </c>
      <c r="AG163" s="34">
        <f>IF(AQ163="2",BI163,0)</f>
        <v>0</v>
      </c>
      <c r="AH163" s="34">
        <f>IF(AQ163="0",BJ163,0)</f>
        <v>0</v>
      </c>
      <c r="AI163" s="26"/>
      <c r="AJ163" s="17">
        <f>IF(AN163=0,J163,0)</f>
        <v>0</v>
      </c>
      <c r="AK163" s="17">
        <f>IF(AN163=15,J163,0)</f>
        <v>0</v>
      </c>
      <c r="AL163" s="17">
        <f>IF(AN163=21,J163,0)</f>
        <v>0</v>
      </c>
      <c r="AN163" s="34">
        <v>21</v>
      </c>
      <c r="AO163" s="34">
        <f>G163*0.617647058823529</f>
        <v>0</v>
      </c>
      <c r="AP163" s="34">
        <f>G163*(1-0.617647058823529)</f>
        <v>0</v>
      </c>
      <c r="AQ163" s="29" t="s">
        <v>7</v>
      </c>
      <c r="AV163" s="34">
        <f>AW163+AX163</f>
        <v>0</v>
      </c>
      <c r="AW163" s="34">
        <f>F163*AO163</f>
        <v>0</v>
      </c>
      <c r="AX163" s="34">
        <f>F163*AP163</f>
        <v>0</v>
      </c>
      <c r="AY163" s="35" t="s">
        <v>506</v>
      </c>
      <c r="AZ163" s="35" t="s">
        <v>529</v>
      </c>
      <c r="BA163" s="26" t="s">
        <v>531</v>
      </c>
      <c r="BC163" s="34">
        <f>AW163+AX163</f>
        <v>0</v>
      </c>
      <c r="BD163" s="34">
        <f>G163/(100-BE163)*100</f>
        <v>0</v>
      </c>
      <c r="BE163" s="34">
        <v>0</v>
      </c>
      <c r="BF163" s="34">
        <f>L163</f>
        <v>0</v>
      </c>
      <c r="BH163" s="17">
        <f>F163*AO163</f>
        <v>0</v>
      </c>
      <c r="BI163" s="17">
        <f>F163*AP163</f>
        <v>0</v>
      </c>
      <c r="BJ163" s="17">
        <f>F163*G163</f>
        <v>0</v>
      </c>
    </row>
    <row r="164" spans="1:47" ht="12.75">
      <c r="A164" s="5"/>
      <c r="B164" s="13"/>
      <c r="C164" s="13" t="s">
        <v>99</v>
      </c>
      <c r="D164" s="13" t="s">
        <v>389</v>
      </c>
      <c r="E164" s="5" t="s">
        <v>6</v>
      </c>
      <c r="F164" s="5" t="s">
        <v>6</v>
      </c>
      <c r="G164" s="5" t="s">
        <v>6</v>
      </c>
      <c r="H164" s="37">
        <f>SUM(H165:H165)</f>
        <v>0</v>
      </c>
      <c r="I164" s="37">
        <f>SUM(I165:I165)</f>
        <v>0</v>
      </c>
      <c r="J164" s="37">
        <f>SUM(J165:J165)</f>
        <v>0</v>
      </c>
      <c r="K164" s="26"/>
      <c r="L164" s="37">
        <f>SUM(L165:L165)</f>
        <v>0</v>
      </c>
      <c r="M164" s="26"/>
      <c r="AI164" s="26"/>
      <c r="AS164" s="37">
        <f>SUM(AJ165:AJ165)</f>
        <v>0</v>
      </c>
      <c r="AT164" s="37">
        <f>SUM(AK165:AK165)</f>
        <v>0</v>
      </c>
      <c r="AU164" s="37">
        <f>SUM(AL165:AL165)</f>
        <v>0</v>
      </c>
    </row>
    <row r="165" spans="1:62" ht="12.75">
      <c r="A165" s="4" t="s">
        <v>96</v>
      </c>
      <c r="B165" s="4"/>
      <c r="C165" s="4" t="s">
        <v>216</v>
      </c>
      <c r="D165" s="4" t="s">
        <v>390</v>
      </c>
      <c r="E165" s="4" t="s">
        <v>442</v>
      </c>
      <c r="F165" s="17">
        <v>9.12</v>
      </c>
      <c r="G165" s="17"/>
      <c r="H165" s="17">
        <f>F165*AO165</f>
        <v>0</v>
      </c>
      <c r="I165" s="17">
        <f>F165*AP165</f>
        <v>0</v>
      </c>
      <c r="J165" s="17">
        <f>F165*G165</f>
        <v>0</v>
      </c>
      <c r="K165" s="17">
        <v>0</v>
      </c>
      <c r="L165" s="17">
        <f>F165*K165</f>
        <v>0</v>
      </c>
      <c r="M165" s="29"/>
      <c r="Z165" s="34">
        <f>IF(AQ165="5",BJ165,0)</f>
        <v>0</v>
      </c>
      <c r="AB165" s="34">
        <f>IF(AQ165="1",BH165,0)</f>
        <v>0</v>
      </c>
      <c r="AC165" s="34">
        <f>IF(AQ165="1",BI165,0)</f>
        <v>0</v>
      </c>
      <c r="AD165" s="34">
        <f>IF(AQ165="7",BH165,0)</f>
        <v>0</v>
      </c>
      <c r="AE165" s="34">
        <f>IF(AQ165="7",BI165,0)</f>
        <v>0</v>
      </c>
      <c r="AF165" s="34">
        <f>IF(AQ165="2",BH165,0)</f>
        <v>0</v>
      </c>
      <c r="AG165" s="34">
        <f>IF(AQ165="2",BI165,0)</f>
        <v>0</v>
      </c>
      <c r="AH165" s="34">
        <f>IF(AQ165="0",BJ165,0)</f>
        <v>0</v>
      </c>
      <c r="AI165" s="26"/>
      <c r="AJ165" s="17">
        <f>IF(AN165=0,J165,0)</f>
        <v>0</v>
      </c>
      <c r="AK165" s="17">
        <f>IF(AN165=15,J165,0)</f>
        <v>0</v>
      </c>
      <c r="AL165" s="17">
        <f>IF(AN165=21,J165,0)</f>
        <v>0</v>
      </c>
      <c r="AN165" s="34">
        <v>21</v>
      </c>
      <c r="AO165" s="34">
        <f>G165*0</f>
        <v>0</v>
      </c>
      <c r="AP165" s="34">
        <f>G165*(1-0)</f>
        <v>0</v>
      </c>
      <c r="AQ165" s="29" t="s">
        <v>7</v>
      </c>
      <c r="AV165" s="34">
        <f>AW165+AX165</f>
        <v>0</v>
      </c>
      <c r="AW165" s="34">
        <f>F165*AO165</f>
        <v>0</v>
      </c>
      <c r="AX165" s="34">
        <f>F165*AP165</f>
        <v>0</v>
      </c>
      <c r="AY165" s="35" t="s">
        <v>507</v>
      </c>
      <c r="AZ165" s="35" t="s">
        <v>529</v>
      </c>
      <c r="BA165" s="26" t="s">
        <v>531</v>
      </c>
      <c r="BC165" s="34">
        <f>AW165+AX165</f>
        <v>0</v>
      </c>
      <c r="BD165" s="34">
        <f>G165/(100-BE165)*100</f>
        <v>0</v>
      </c>
      <c r="BE165" s="34">
        <v>0</v>
      </c>
      <c r="BF165" s="34">
        <f>L165</f>
        <v>0</v>
      </c>
      <c r="BH165" s="17">
        <f>F165*AO165</f>
        <v>0</v>
      </c>
      <c r="BI165" s="17">
        <f>F165*AP165</f>
        <v>0</v>
      </c>
      <c r="BJ165" s="17">
        <f>F165*G165</f>
        <v>0</v>
      </c>
    </row>
    <row r="166" spans="1:47" ht="12.75">
      <c r="A166" s="5"/>
      <c r="B166" s="13"/>
      <c r="C166" s="13" t="s">
        <v>102</v>
      </c>
      <c r="D166" s="13" t="s">
        <v>391</v>
      </c>
      <c r="E166" s="5" t="s">
        <v>6</v>
      </c>
      <c r="F166" s="5" t="s">
        <v>6</v>
      </c>
      <c r="G166" s="5" t="s">
        <v>6</v>
      </c>
      <c r="H166" s="37">
        <f>SUM(H167:H172)</f>
        <v>0</v>
      </c>
      <c r="I166" s="37">
        <f>SUM(I167:I172)</f>
        <v>0</v>
      </c>
      <c r="J166" s="37">
        <f>SUM(J167:J172)</f>
        <v>0</v>
      </c>
      <c r="K166" s="26"/>
      <c r="L166" s="37">
        <f>SUM(L167:L172)</f>
        <v>1.87914</v>
      </c>
      <c r="M166" s="26"/>
      <c r="AI166" s="26"/>
      <c r="AS166" s="37">
        <f>SUM(AJ167:AJ172)</f>
        <v>0</v>
      </c>
      <c r="AT166" s="37">
        <f>SUM(AK167:AK172)</f>
        <v>0</v>
      </c>
      <c r="AU166" s="37">
        <f>SUM(AL167:AL172)</f>
        <v>0</v>
      </c>
    </row>
    <row r="167" spans="1:62" ht="12.75">
      <c r="A167" s="4" t="s">
        <v>97</v>
      </c>
      <c r="B167" s="4"/>
      <c r="C167" s="4" t="s">
        <v>217</v>
      </c>
      <c r="D167" s="4" t="s">
        <v>392</v>
      </c>
      <c r="E167" s="4" t="s">
        <v>446</v>
      </c>
      <c r="F167" s="17">
        <v>0.4</v>
      </c>
      <c r="G167" s="17"/>
      <c r="H167" s="17">
        <f>F167*AO167</f>
        <v>0</v>
      </c>
      <c r="I167" s="17">
        <f>F167*AP167</f>
        <v>0</v>
      </c>
      <c r="J167" s="17">
        <f>F167*G167</f>
        <v>0</v>
      </c>
      <c r="K167" s="17">
        <v>2.2</v>
      </c>
      <c r="L167" s="17">
        <f>F167*K167</f>
        <v>0.8800000000000001</v>
      </c>
      <c r="M167" s="29"/>
      <c r="Z167" s="34">
        <f>IF(AQ167="5",BJ167,0)</f>
        <v>0</v>
      </c>
      <c r="AB167" s="34">
        <f>IF(AQ167="1",BH167,0)</f>
        <v>0</v>
      </c>
      <c r="AC167" s="34">
        <f>IF(AQ167="1",BI167,0)</f>
        <v>0</v>
      </c>
      <c r="AD167" s="34">
        <f>IF(AQ167="7",BH167,0)</f>
        <v>0</v>
      </c>
      <c r="AE167" s="34">
        <f>IF(AQ167="7",BI167,0)</f>
        <v>0</v>
      </c>
      <c r="AF167" s="34">
        <f>IF(AQ167="2",BH167,0)</f>
        <v>0</v>
      </c>
      <c r="AG167" s="34">
        <f>IF(AQ167="2",BI167,0)</f>
        <v>0</v>
      </c>
      <c r="AH167" s="34">
        <f>IF(AQ167="0",BJ167,0)</f>
        <v>0</v>
      </c>
      <c r="AI167" s="26"/>
      <c r="AJ167" s="17">
        <f>IF(AN167=0,J167,0)</f>
        <v>0</v>
      </c>
      <c r="AK167" s="17">
        <f>IF(AN167=15,J167,0)</f>
        <v>0</v>
      </c>
      <c r="AL167" s="17">
        <f>IF(AN167=21,J167,0)</f>
        <v>0</v>
      </c>
      <c r="AN167" s="34">
        <v>21</v>
      </c>
      <c r="AO167" s="34">
        <f>G167*0</f>
        <v>0</v>
      </c>
      <c r="AP167" s="34">
        <f>G167*(1-0)</f>
        <v>0</v>
      </c>
      <c r="AQ167" s="29" t="s">
        <v>7</v>
      </c>
      <c r="AV167" s="34">
        <f>AW167+AX167</f>
        <v>0</v>
      </c>
      <c r="AW167" s="34">
        <f>F167*AO167</f>
        <v>0</v>
      </c>
      <c r="AX167" s="34">
        <f>F167*AP167</f>
        <v>0</v>
      </c>
      <c r="AY167" s="35" t="s">
        <v>508</v>
      </c>
      <c r="AZ167" s="35" t="s">
        <v>529</v>
      </c>
      <c r="BA167" s="26" t="s">
        <v>531</v>
      </c>
      <c r="BC167" s="34">
        <f>AW167+AX167</f>
        <v>0</v>
      </c>
      <c r="BD167" s="34">
        <f>G167/(100-BE167)*100</f>
        <v>0</v>
      </c>
      <c r="BE167" s="34">
        <v>0</v>
      </c>
      <c r="BF167" s="34">
        <f>L167</f>
        <v>0.8800000000000001</v>
      </c>
      <c r="BH167" s="17">
        <f>F167*AO167</f>
        <v>0</v>
      </c>
      <c r="BI167" s="17">
        <f>F167*AP167</f>
        <v>0</v>
      </c>
      <c r="BJ167" s="17">
        <f>F167*G167</f>
        <v>0</v>
      </c>
    </row>
    <row r="168" ht="12.75">
      <c r="D168" s="15" t="s">
        <v>393</v>
      </c>
    </row>
    <row r="169" spans="1:62" ht="12.75">
      <c r="A169" s="4" t="s">
        <v>98</v>
      </c>
      <c r="B169" s="4"/>
      <c r="C169" s="4" t="s">
        <v>218</v>
      </c>
      <c r="D169" s="4" t="s">
        <v>394</v>
      </c>
      <c r="E169" s="4" t="s">
        <v>446</v>
      </c>
      <c r="F169" s="17">
        <v>0.384</v>
      </c>
      <c r="G169" s="17"/>
      <c r="H169" s="17">
        <f>F169*AO169</f>
        <v>0</v>
      </c>
      <c r="I169" s="17">
        <f>F169*AP169</f>
        <v>0</v>
      </c>
      <c r="J169" s="17">
        <f>F169*G169</f>
        <v>0</v>
      </c>
      <c r="K169" s="17">
        <v>2.2</v>
      </c>
      <c r="L169" s="17">
        <f>F169*K169</f>
        <v>0.8448000000000001</v>
      </c>
      <c r="M169" s="29"/>
      <c r="Z169" s="34">
        <f>IF(AQ169="5",BJ169,0)</f>
        <v>0</v>
      </c>
      <c r="AB169" s="34">
        <f>IF(AQ169="1",BH169,0)</f>
        <v>0</v>
      </c>
      <c r="AC169" s="34">
        <f>IF(AQ169="1",BI169,0)</f>
        <v>0</v>
      </c>
      <c r="AD169" s="34">
        <f>IF(AQ169="7",BH169,0)</f>
        <v>0</v>
      </c>
      <c r="AE169" s="34">
        <f>IF(AQ169="7",BI169,0)</f>
        <v>0</v>
      </c>
      <c r="AF169" s="34">
        <f>IF(AQ169="2",BH169,0)</f>
        <v>0</v>
      </c>
      <c r="AG169" s="34">
        <f>IF(AQ169="2",BI169,0)</f>
        <v>0</v>
      </c>
      <c r="AH169" s="34">
        <f>IF(AQ169="0",BJ169,0)</f>
        <v>0</v>
      </c>
      <c r="AI169" s="26"/>
      <c r="AJ169" s="17">
        <f>IF(AN169=0,J169,0)</f>
        <v>0</v>
      </c>
      <c r="AK169" s="17">
        <f>IF(AN169=15,J169,0)</f>
        <v>0</v>
      </c>
      <c r="AL169" s="17">
        <f>IF(AN169=21,J169,0)</f>
        <v>0</v>
      </c>
      <c r="AN169" s="34">
        <v>21</v>
      </c>
      <c r="AO169" s="34">
        <f>G169*0</f>
        <v>0</v>
      </c>
      <c r="AP169" s="34">
        <f>G169*(1-0)</f>
        <v>0</v>
      </c>
      <c r="AQ169" s="29" t="s">
        <v>7</v>
      </c>
      <c r="AV169" s="34">
        <f>AW169+AX169</f>
        <v>0</v>
      </c>
      <c r="AW169" s="34">
        <f>F169*AO169</f>
        <v>0</v>
      </c>
      <c r="AX169" s="34">
        <f>F169*AP169</f>
        <v>0</v>
      </c>
      <c r="AY169" s="35" t="s">
        <v>508</v>
      </c>
      <c r="AZ169" s="35" t="s">
        <v>529</v>
      </c>
      <c r="BA169" s="26" t="s">
        <v>531</v>
      </c>
      <c r="BC169" s="34">
        <f>AW169+AX169</f>
        <v>0</v>
      </c>
      <c r="BD169" s="34">
        <f>G169/(100-BE169)*100</f>
        <v>0</v>
      </c>
      <c r="BE169" s="34">
        <v>0</v>
      </c>
      <c r="BF169" s="34">
        <f>L169</f>
        <v>0.8448000000000001</v>
      </c>
      <c r="BH169" s="17">
        <f>F169*AO169</f>
        <v>0</v>
      </c>
      <c r="BI169" s="17">
        <f>F169*AP169</f>
        <v>0</v>
      </c>
      <c r="BJ169" s="17">
        <f>F169*G169</f>
        <v>0</v>
      </c>
    </row>
    <row r="170" ht="12.75">
      <c r="D170" s="15" t="s">
        <v>395</v>
      </c>
    </row>
    <row r="171" spans="1:62" ht="12.75">
      <c r="A171" s="4" t="s">
        <v>99</v>
      </c>
      <c r="B171" s="4"/>
      <c r="C171" s="4" t="s">
        <v>219</v>
      </c>
      <c r="D171" s="4" t="s">
        <v>396</v>
      </c>
      <c r="E171" s="4" t="s">
        <v>442</v>
      </c>
      <c r="F171" s="17">
        <v>2</v>
      </c>
      <c r="G171" s="17"/>
      <c r="H171" s="17">
        <f>F171*AO171</f>
        <v>0</v>
      </c>
      <c r="I171" s="17">
        <f>F171*AP171</f>
        <v>0</v>
      </c>
      <c r="J171" s="17">
        <f>F171*G171</f>
        <v>0</v>
      </c>
      <c r="K171" s="17">
        <v>0.07717</v>
      </c>
      <c r="L171" s="17">
        <f>F171*K171</f>
        <v>0.15434</v>
      </c>
      <c r="M171" s="29"/>
      <c r="Z171" s="34">
        <f>IF(AQ171="5",BJ171,0)</f>
        <v>0</v>
      </c>
      <c r="AB171" s="34">
        <f>IF(AQ171="1",BH171,0)</f>
        <v>0</v>
      </c>
      <c r="AC171" s="34">
        <f>IF(AQ171="1",BI171,0)</f>
        <v>0</v>
      </c>
      <c r="AD171" s="34">
        <f>IF(AQ171="7",BH171,0)</f>
        <v>0</v>
      </c>
      <c r="AE171" s="34">
        <f>IF(AQ171="7",BI171,0)</f>
        <v>0</v>
      </c>
      <c r="AF171" s="34">
        <f>IF(AQ171="2",BH171,0)</f>
        <v>0</v>
      </c>
      <c r="AG171" s="34">
        <f>IF(AQ171="2",BI171,0)</f>
        <v>0</v>
      </c>
      <c r="AH171" s="34">
        <f>IF(AQ171="0",BJ171,0)</f>
        <v>0</v>
      </c>
      <c r="AI171" s="26"/>
      <c r="AJ171" s="17">
        <f>IF(AN171=0,J171,0)</f>
        <v>0</v>
      </c>
      <c r="AK171" s="17">
        <f>IF(AN171=15,J171,0)</f>
        <v>0</v>
      </c>
      <c r="AL171" s="17">
        <f>IF(AN171=21,J171,0)</f>
        <v>0</v>
      </c>
      <c r="AN171" s="34">
        <v>21</v>
      </c>
      <c r="AO171" s="34">
        <f>G171*0.0788951841359773</f>
        <v>0</v>
      </c>
      <c r="AP171" s="34">
        <f>G171*(1-0.0788951841359773)</f>
        <v>0</v>
      </c>
      <c r="AQ171" s="29" t="s">
        <v>7</v>
      </c>
      <c r="AV171" s="34">
        <f>AW171+AX171</f>
        <v>0</v>
      </c>
      <c r="AW171" s="34">
        <f>F171*AO171</f>
        <v>0</v>
      </c>
      <c r="AX171" s="34">
        <f>F171*AP171</f>
        <v>0</v>
      </c>
      <c r="AY171" s="35" t="s">
        <v>508</v>
      </c>
      <c r="AZ171" s="35" t="s">
        <v>529</v>
      </c>
      <c r="BA171" s="26" t="s">
        <v>531</v>
      </c>
      <c r="BC171" s="34">
        <f>AW171+AX171</f>
        <v>0</v>
      </c>
      <c r="BD171" s="34">
        <f>G171/(100-BE171)*100</f>
        <v>0</v>
      </c>
      <c r="BE171" s="34">
        <v>0</v>
      </c>
      <c r="BF171" s="34">
        <f>L171</f>
        <v>0.15434</v>
      </c>
      <c r="BH171" s="17">
        <f>F171*AO171</f>
        <v>0</v>
      </c>
      <c r="BI171" s="17">
        <f>F171*AP171</f>
        <v>0</v>
      </c>
      <c r="BJ171" s="17">
        <f>F171*G171</f>
        <v>0</v>
      </c>
    </row>
    <row r="172" spans="1:62" ht="12.75">
      <c r="A172" s="4" t="s">
        <v>100</v>
      </c>
      <c r="B172" s="4"/>
      <c r="C172" s="4" t="s">
        <v>220</v>
      </c>
      <c r="D172" s="4" t="s">
        <v>397</v>
      </c>
      <c r="E172" s="4" t="s">
        <v>448</v>
      </c>
      <c r="F172" s="17">
        <v>2</v>
      </c>
      <c r="G172" s="17"/>
      <c r="H172" s="17">
        <f>F172*AO172</f>
        <v>0</v>
      </c>
      <c r="I172" s="17">
        <f>F172*AP172</f>
        <v>0</v>
      </c>
      <c r="J172" s="17">
        <f>F172*G172</f>
        <v>0</v>
      </c>
      <c r="K172" s="17">
        <v>0</v>
      </c>
      <c r="L172" s="17">
        <f>F172*K172</f>
        <v>0</v>
      </c>
      <c r="M172" s="29"/>
      <c r="Z172" s="34">
        <f>IF(AQ172="5",BJ172,0)</f>
        <v>0</v>
      </c>
      <c r="AB172" s="34">
        <f>IF(AQ172="1",BH172,0)</f>
        <v>0</v>
      </c>
      <c r="AC172" s="34">
        <f>IF(AQ172="1",BI172,0)</f>
        <v>0</v>
      </c>
      <c r="AD172" s="34">
        <f>IF(AQ172="7",BH172,0)</f>
        <v>0</v>
      </c>
      <c r="AE172" s="34">
        <f>IF(AQ172="7",BI172,0)</f>
        <v>0</v>
      </c>
      <c r="AF172" s="34">
        <f>IF(AQ172="2",BH172,0)</f>
        <v>0</v>
      </c>
      <c r="AG172" s="34">
        <f>IF(AQ172="2",BI172,0)</f>
        <v>0</v>
      </c>
      <c r="AH172" s="34">
        <f>IF(AQ172="0",BJ172,0)</f>
        <v>0</v>
      </c>
      <c r="AI172" s="26"/>
      <c r="AJ172" s="17">
        <f>IF(AN172=0,J172,0)</f>
        <v>0</v>
      </c>
      <c r="AK172" s="17">
        <f>IF(AN172=15,J172,0)</f>
        <v>0</v>
      </c>
      <c r="AL172" s="17">
        <f>IF(AN172=21,J172,0)</f>
        <v>0</v>
      </c>
      <c r="AN172" s="34">
        <v>21</v>
      </c>
      <c r="AO172" s="34">
        <f>G172*0</f>
        <v>0</v>
      </c>
      <c r="AP172" s="34">
        <f>G172*(1-0)</f>
        <v>0</v>
      </c>
      <c r="AQ172" s="29" t="s">
        <v>7</v>
      </c>
      <c r="AV172" s="34">
        <f>AW172+AX172</f>
        <v>0</v>
      </c>
      <c r="AW172" s="34">
        <f>F172*AO172</f>
        <v>0</v>
      </c>
      <c r="AX172" s="34">
        <f>F172*AP172</f>
        <v>0</v>
      </c>
      <c r="AY172" s="35" t="s">
        <v>508</v>
      </c>
      <c r="AZ172" s="35" t="s">
        <v>529</v>
      </c>
      <c r="BA172" s="26" t="s">
        <v>531</v>
      </c>
      <c r="BC172" s="34">
        <f>AW172+AX172</f>
        <v>0</v>
      </c>
      <c r="BD172" s="34">
        <f>G172/(100-BE172)*100</f>
        <v>0</v>
      </c>
      <c r="BE172" s="34">
        <v>0</v>
      </c>
      <c r="BF172" s="34">
        <f>L172</f>
        <v>0</v>
      </c>
      <c r="BH172" s="17">
        <f>F172*AO172</f>
        <v>0</v>
      </c>
      <c r="BI172" s="17">
        <f>F172*AP172</f>
        <v>0</v>
      </c>
      <c r="BJ172" s="17">
        <f>F172*G172</f>
        <v>0</v>
      </c>
    </row>
    <row r="173" spans="1:47" ht="12.75">
      <c r="A173" s="5"/>
      <c r="B173" s="13"/>
      <c r="C173" s="13" t="s">
        <v>103</v>
      </c>
      <c r="D173" s="13" t="s">
        <v>398</v>
      </c>
      <c r="E173" s="5" t="s">
        <v>6</v>
      </c>
      <c r="F173" s="5" t="s">
        <v>6</v>
      </c>
      <c r="G173" s="5" t="s">
        <v>6</v>
      </c>
      <c r="H173" s="37">
        <f>SUM(H174:H176)</f>
        <v>0</v>
      </c>
      <c r="I173" s="37">
        <f>SUM(I174:I176)</f>
        <v>0</v>
      </c>
      <c r="J173" s="37">
        <f>SUM(J174:J176)</f>
        <v>0</v>
      </c>
      <c r="K173" s="26"/>
      <c r="L173" s="37">
        <f>SUM(L174:L176)</f>
        <v>0.077057</v>
      </c>
      <c r="M173" s="26"/>
      <c r="AI173" s="26"/>
      <c r="AS173" s="37">
        <f>SUM(AJ174:AJ176)</f>
        <v>0</v>
      </c>
      <c r="AT173" s="37">
        <f>SUM(AK174:AK176)</f>
        <v>0</v>
      </c>
      <c r="AU173" s="37">
        <f>SUM(AL174:AL176)</f>
        <v>0</v>
      </c>
    </row>
    <row r="174" spans="1:62" ht="12.75">
      <c r="A174" s="4" t="s">
        <v>101</v>
      </c>
      <c r="B174" s="4"/>
      <c r="C174" s="4" t="s">
        <v>221</v>
      </c>
      <c r="D174" s="4" t="s">
        <v>399</v>
      </c>
      <c r="E174" s="4" t="s">
        <v>443</v>
      </c>
      <c r="F174" s="17">
        <v>15.1</v>
      </c>
      <c r="G174" s="17"/>
      <c r="H174" s="17">
        <f>F174*AO174</f>
        <v>0</v>
      </c>
      <c r="I174" s="17">
        <f>F174*AP174</f>
        <v>0</v>
      </c>
      <c r="J174" s="17">
        <f>F174*G174</f>
        <v>0</v>
      </c>
      <c r="K174" s="17">
        <v>0.00287</v>
      </c>
      <c r="L174" s="17">
        <f>F174*K174</f>
        <v>0.043337</v>
      </c>
      <c r="M174" s="29"/>
      <c r="Z174" s="34">
        <f>IF(AQ174="5",BJ174,0)</f>
        <v>0</v>
      </c>
      <c r="AB174" s="34">
        <f>IF(AQ174="1",BH174,0)</f>
        <v>0</v>
      </c>
      <c r="AC174" s="34">
        <f>IF(AQ174="1",BI174,0)</f>
        <v>0</v>
      </c>
      <c r="AD174" s="34">
        <f>IF(AQ174="7",BH174,0)</f>
        <v>0</v>
      </c>
      <c r="AE174" s="34">
        <f>IF(AQ174="7",BI174,0)</f>
        <v>0</v>
      </c>
      <c r="AF174" s="34">
        <f>IF(AQ174="2",BH174,0)</f>
        <v>0</v>
      </c>
      <c r="AG174" s="34">
        <f>IF(AQ174="2",BI174,0)</f>
        <v>0</v>
      </c>
      <c r="AH174" s="34">
        <f>IF(AQ174="0",BJ174,0)</f>
        <v>0</v>
      </c>
      <c r="AI174" s="26"/>
      <c r="AJ174" s="17">
        <f>IF(AN174=0,J174,0)</f>
        <v>0</v>
      </c>
      <c r="AK174" s="17">
        <f>IF(AN174=15,J174,0)</f>
        <v>0</v>
      </c>
      <c r="AL174" s="17">
        <f>IF(AN174=21,J174,0)</f>
        <v>0</v>
      </c>
      <c r="AN174" s="34">
        <v>21</v>
      </c>
      <c r="AO174" s="34">
        <f>G174*0.338510794722708</f>
        <v>0</v>
      </c>
      <c r="AP174" s="34">
        <f>G174*(1-0.338510794722708)</f>
        <v>0</v>
      </c>
      <c r="AQ174" s="29" t="s">
        <v>7</v>
      </c>
      <c r="AV174" s="34">
        <f>AW174+AX174</f>
        <v>0</v>
      </c>
      <c r="AW174" s="34">
        <f>F174*AO174</f>
        <v>0</v>
      </c>
      <c r="AX174" s="34">
        <f>F174*AP174</f>
        <v>0</v>
      </c>
      <c r="AY174" s="35" t="s">
        <v>509</v>
      </c>
      <c r="AZ174" s="35" t="s">
        <v>529</v>
      </c>
      <c r="BA174" s="26" t="s">
        <v>531</v>
      </c>
      <c r="BC174" s="34">
        <f>AW174+AX174</f>
        <v>0</v>
      </c>
      <c r="BD174" s="34">
        <f>G174/(100-BE174)*100</f>
        <v>0</v>
      </c>
      <c r="BE174" s="34">
        <v>0</v>
      </c>
      <c r="BF174" s="34">
        <f>L174</f>
        <v>0.043337</v>
      </c>
      <c r="BH174" s="17">
        <f>F174*AO174</f>
        <v>0</v>
      </c>
      <c r="BI174" s="17">
        <f>F174*AP174</f>
        <v>0</v>
      </c>
      <c r="BJ174" s="17">
        <f>F174*G174</f>
        <v>0</v>
      </c>
    </row>
    <row r="175" spans="1:62" ht="12.75">
      <c r="A175" s="4" t="s">
        <v>102</v>
      </c>
      <c r="B175" s="4"/>
      <c r="C175" s="4" t="s">
        <v>222</v>
      </c>
      <c r="D175" s="4" t="s">
        <v>400</v>
      </c>
      <c r="E175" s="4" t="s">
        <v>443</v>
      </c>
      <c r="F175" s="17">
        <v>5.1</v>
      </c>
      <c r="G175" s="17"/>
      <c r="H175" s="17">
        <f>F175*AO175</f>
        <v>0</v>
      </c>
      <c r="I175" s="17">
        <f>F175*AP175</f>
        <v>0</v>
      </c>
      <c r="J175" s="17">
        <f>F175*G175</f>
        <v>0</v>
      </c>
      <c r="K175" s="17">
        <v>0.0012</v>
      </c>
      <c r="L175" s="17">
        <f>F175*K175</f>
        <v>0.006119999999999999</v>
      </c>
      <c r="M175" s="29"/>
      <c r="Z175" s="34">
        <f>IF(AQ175="5",BJ175,0)</f>
        <v>0</v>
      </c>
      <c r="AB175" s="34">
        <f>IF(AQ175="1",BH175,0)</f>
        <v>0</v>
      </c>
      <c r="AC175" s="34">
        <f>IF(AQ175="1",BI175,0)</f>
        <v>0</v>
      </c>
      <c r="AD175" s="34">
        <f>IF(AQ175="7",BH175,0)</f>
        <v>0</v>
      </c>
      <c r="AE175" s="34">
        <f>IF(AQ175="7",BI175,0)</f>
        <v>0</v>
      </c>
      <c r="AF175" s="34">
        <f>IF(AQ175="2",BH175,0)</f>
        <v>0</v>
      </c>
      <c r="AG175" s="34">
        <f>IF(AQ175="2",BI175,0)</f>
        <v>0</v>
      </c>
      <c r="AH175" s="34">
        <f>IF(AQ175="0",BJ175,0)</f>
        <v>0</v>
      </c>
      <c r="AI175" s="26"/>
      <c r="AJ175" s="17">
        <f>IF(AN175=0,J175,0)</f>
        <v>0</v>
      </c>
      <c r="AK175" s="17">
        <f>IF(AN175=15,J175,0)</f>
        <v>0</v>
      </c>
      <c r="AL175" s="17">
        <f>IF(AN175=21,J175,0)</f>
        <v>0</v>
      </c>
      <c r="AN175" s="34">
        <v>21</v>
      </c>
      <c r="AO175" s="34">
        <f>G175*0.401661764705882</f>
        <v>0</v>
      </c>
      <c r="AP175" s="34">
        <f>G175*(1-0.401661764705882)</f>
        <v>0</v>
      </c>
      <c r="AQ175" s="29" t="s">
        <v>7</v>
      </c>
      <c r="AV175" s="34">
        <f>AW175+AX175</f>
        <v>0</v>
      </c>
      <c r="AW175" s="34">
        <f>F175*AO175</f>
        <v>0</v>
      </c>
      <c r="AX175" s="34">
        <f>F175*AP175</f>
        <v>0</v>
      </c>
      <c r="AY175" s="35" t="s">
        <v>509</v>
      </c>
      <c r="AZ175" s="35" t="s">
        <v>529</v>
      </c>
      <c r="BA175" s="26" t="s">
        <v>531</v>
      </c>
      <c r="BC175" s="34">
        <f>AW175+AX175</f>
        <v>0</v>
      </c>
      <c r="BD175" s="34">
        <f>G175/(100-BE175)*100</f>
        <v>0</v>
      </c>
      <c r="BE175" s="34">
        <v>0</v>
      </c>
      <c r="BF175" s="34">
        <f>L175</f>
        <v>0.006119999999999999</v>
      </c>
      <c r="BH175" s="17">
        <f>F175*AO175</f>
        <v>0</v>
      </c>
      <c r="BI175" s="17">
        <f>F175*AP175</f>
        <v>0</v>
      </c>
      <c r="BJ175" s="17">
        <f>F175*G175</f>
        <v>0</v>
      </c>
    </row>
    <row r="176" spans="1:62" ht="12.75">
      <c r="A176" s="4" t="s">
        <v>103</v>
      </c>
      <c r="B176" s="4"/>
      <c r="C176" s="4" t="s">
        <v>223</v>
      </c>
      <c r="D176" s="4" t="s">
        <v>401</v>
      </c>
      <c r="E176" s="4" t="s">
        <v>448</v>
      </c>
      <c r="F176" s="17">
        <v>120</v>
      </c>
      <c r="G176" s="17"/>
      <c r="H176" s="17">
        <f>F176*AO176</f>
        <v>0</v>
      </c>
      <c r="I176" s="17">
        <f>F176*AP176</f>
        <v>0</v>
      </c>
      <c r="J176" s="17">
        <f>F176*G176</f>
        <v>0</v>
      </c>
      <c r="K176" s="17">
        <v>0.00023</v>
      </c>
      <c r="L176" s="17">
        <f>F176*K176</f>
        <v>0.0276</v>
      </c>
      <c r="M176" s="29"/>
      <c r="Z176" s="34">
        <f>IF(AQ176="5",BJ176,0)</f>
        <v>0</v>
      </c>
      <c r="AB176" s="34">
        <f>IF(AQ176="1",BH176,0)</f>
        <v>0</v>
      </c>
      <c r="AC176" s="34">
        <f>IF(AQ176="1",BI176,0)</f>
        <v>0</v>
      </c>
      <c r="AD176" s="34">
        <f>IF(AQ176="7",BH176,0)</f>
        <v>0</v>
      </c>
      <c r="AE176" s="34">
        <f>IF(AQ176="7",BI176,0)</f>
        <v>0</v>
      </c>
      <c r="AF176" s="34">
        <f>IF(AQ176="2",BH176,0)</f>
        <v>0</v>
      </c>
      <c r="AG176" s="34">
        <f>IF(AQ176="2",BI176,0)</f>
        <v>0</v>
      </c>
      <c r="AH176" s="34">
        <f>IF(AQ176="0",BJ176,0)</f>
        <v>0</v>
      </c>
      <c r="AI176" s="26"/>
      <c r="AJ176" s="17">
        <f>IF(AN176=0,J176,0)</f>
        <v>0</v>
      </c>
      <c r="AK176" s="17">
        <f>IF(AN176=15,J176,0)</f>
        <v>0</v>
      </c>
      <c r="AL176" s="17">
        <f>IF(AN176=21,J176,0)</f>
        <v>0</v>
      </c>
      <c r="AN176" s="34">
        <v>21</v>
      </c>
      <c r="AO176" s="34">
        <f>G176*0</f>
        <v>0</v>
      </c>
      <c r="AP176" s="34">
        <f>G176*(1-0)</f>
        <v>0</v>
      </c>
      <c r="AQ176" s="29" t="s">
        <v>7</v>
      </c>
      <c r="AV176" s="34">
        <f>AW176+AX176</f>
        <v>0</v>
      </c>
      <c r="AW176" s="34">
        <f>F176*AO176</f>
        <v>0</v>
      </c>
      <c r="AX176" s="34">
        <f>F176*AP176</f>
        <v>0</v>
      </c>
      <c r="AY176" s="35" t="s">
        <v>509</v>
      </c>
      <c r="AZ176" s="35" t="s">
        <v>529</v>
      </c>
      <c r="BA176" s="26" t="s">
        <v>531</v>
      </c>
      <c r="BC176" s="34">
        <f>AW176+AX176</f>
        <v>0</v>
      </c>
      <c r="BD176" s="34">
        <f>G176/(100-BE176)*100</f>
        <v>0</v>
      </c>
      <c r="BE176" s="34">
        <v>0</v>
      </c>
      <c r="BF176" s="34">
        <f>L176</f>
        <v>0.0276</v>
      </c>
      <c r="BH176" s="17">
        <f>F176*AO176</f>
        <v>0</v>
      </c>
      <c r="BI176" s="17">
        <f>F176*AP176</f>
        <v>0</v>
      </c>
      <c r="BJ176" s="17">
        <f>F176*G176</f>
        <v>0</v>
      </c>
    </row>
    <row r="177" spans="1:47" ht="12.75">
      <c r="A177" s="5"/>
      <c r="B177" s="13"/>
      <c r="C177" s="13" t="s">
        <v>224</v>
      </c>
      <c r="D177" s="13" t="s">
        <v>402</v>
      </c>
      <c r="E177" s="5" t="s">
        <v>6</v>
      </c>
      <c r="F177" s="5" t="s">
        <v>6</v>
      </c>
      <c r="G177" s="5" t="s">
        <v>6</v>
      </c>
      <c r="H177" s="37">
        <f>SUM(H178:H178)</f>
        <v>0</v>
      </c>
      <c r="I177" s="37">
        <f>SUM(I178:I178)</f>
        <v>0</v>
      </c>
      <c r="J177" s="37">
        <f>SUM(J178:J178)</f>
        <v>0</v>
      </c>
      <c r="K177" s="26"/>
      <c r="L177" s="37">
        <f>SUM(L178:L178)</f>
        <v>0</v>
      </c>
      <c r="M177" s="26"/>
      <c r="AI177" s="26"/>
      <c r="AS177" s="37">
        <f>SUM(AJ178:AJ178)</f>
        <v>0</v>
      </c>
      <c r="AT177" s="37">
        <f>SUM(AK178:AK178)</f>
        <v>0</v>
      </c>
      <c r="AU177" s="37">
        <f>SUM(AL178:AL178)</f>
        <v>0</v>
      </c>
    </row>
    <row r="178" spans="1:62" ht="12.75">
      <c r="A178" s="4" t="s">
        <v>104</v>
      </c>
      <c r="B178" s="4"/>
      <c r="C178" s="4" t="s">
        <v>225</v>
      </c>
      <c r="D178" s="4" t="s">
        <v>403</v>
      </c>
      <c r="E178" s="4" t="s">
        <v>447</v>
      </c>
      <c r="F178" s="17">
        <v>8.8661</v>
      </c>
      <c r="G178" s="17"/>
      <c r="H178" s="17">
        <f>F178*AO178</f>
        <v>0</v>
      </c>
      <c r="I178" s="17">
        <f>F178*AP178</f>
        <v>0</v>
      </c>
      <c r="J178" s="17">
        <f>F178*G178</f>
        <v>0</v>
      </c>
      <c r="K178" s="17">
        <v>0</v>
      </c>
      <c r="L178" s="17">
        <f>F178*K178</f>
        <v>0</v>
      </c>
      <c r="M178" s="29"/>
      <c r="Z178" s="34">
        <f>IF(AQ178="5",BJ178,0)</f>
        <v>0</v>
      </c>
      <c r="AB178" s="34">
        <f>IF(AQ178="1",BH178,0)</f>
        <v>0</v>
      </c>
      <c r="AC178" s="34">
        <f>IF(AQ178="1",BI178,0)</f>
        <v>0</v>
      </c>
      <c r="AD178" s="34">
        <f>IF(AQ178="7",BH178,0)</f>
        <v>0</v>
      </c>
      <c r="AE178" s="34">
        <f>IF(AQ178="7",BI178,0)</f>
        <v>0</v>
      </c>
      <c r="AF178" s="34">
        <f>IF(AQ178="2",BH178,0)</f>
        <v>0</v>
      </c>
      <c r="AG178" s="34">
        <f>IF(AQ178="2",BI178,0)</f>
        <v>0</v>
      </c>
      <c r="AH178" s="34">
        <f>IF(AQ178="0",BJ178,0)</f>
        <v>0</v>
      </c>
      <c r="AI178" s="26"/>
      <c r="AJ178" s="17">
        <f>IF(AN178=0,J178,0)</f>
        <v>0</v>
      </c>
      <c r="AK178" s="17">
        <f>IF(AN178=15,J178,0)</f>
        <v>0</v>
      </c>
      <c r="AL178" s="17">
        <f>IF(AN178=21,J178,0)</f>
        <v>0</v>
      </c>
      <c r="AN178" s="34">
        <v>21</v>
      </c>
      <c r="AO178" s="34">
        <f>G178*0</f>
        <v>0</v>
      </c>
      <c r="AP178" s="34">
        <f>G178*(1-0)</f>
        <v>0</v>
      </c>
      <c r="AQ178" s="29" t="s">
        <v>11</v>
      </c>
      <c r="AV178" s="34">
        <f>AW178+AX178</f>
        <v>0</v>
      </c>
      <c r="AW178" s="34">
        <f>F178*AO178</f>
        <v>0</v>
      </c>
      <c r="AX178" s="34">
        <f>F178*AP178</f>
        <v>0</v>
      </c>
      <c r="AY178" s="35" t="s">
        <v>510</v>
      </c>
      <c r="AZ178" s="35" t="s">
        <v>529</v>
      </c>
      <c r="BA178" s="26" t="s">
        <v>531</v>
      </c>
      <c r="BC178" s="34">
        <f>AW178+AX178</f>
        <v>0</v>
      </c>
      <c r="BD178" s="34">
        <f>G178/(100-BE178)*100</f>
        <v>0</v>
      </c>
      <c r="BE178" s="34">
        <v>0</v>
      </c>
      <c r="BF178" s="34">
        <f>L178</f>
        <v>0</v>
      </c>
      <c r="BH178" s="17">
        <f>F178*AO178</f>
        <v>0</v>
      </c>
      <c r="BI178" s="17">
        <f>F178*AP178</f>
        <v>0</v>
      </c>
      <c r="BJ178" s="17">
        <f>F178*G178</f>
        <v>0</v>
      </c>
    </row>
    <row r="179" spans="1:47" ht="12.75">
      <c r="A179" s="5"/>
      <c r="B179" s="13"/>
      <c r="C179" s="13" t="s">
        <v>226</v>
      </c>
      <c r="D179" s="13" t="s">
        <v>404</v>
      </c>
      <c r="E179" s="5" t="s">
        <v>6</v>
      </c>
      <c r="F179" s="5" t="s">
        <v>6</v>
      </c>
      <c r="G179" s="5" t="s">
        <v>6</v>
      </c>
      <c r="H179" s="37">
        <f>SUM(H180:H180)</f>
        <v>0</v>
      </c>
      <c r="I179" s="37">
        <f>SUM(I180:I180)</f>
        <v>0</v>
      </c>
      <c r="J179" s="37">
        <f>SUM(J180:J180)</f>
        <v>0</v>
      </c>
      <c r="K179" s="26"/>
      <c r="L179" s="37">
        <f>SUM(L180:L180)</f>
        <v>0</v>
      </c>
      <c r="M179" s="26"/>
      <c r="AI179" s="26"/>
      <c r="AS179" s="37">
        <f>SUM(AJ180:AJ180)</f>
        <v>0</v>
      </c>
      <c r="AT179" s="37">
        <f>SUM(AK180:AK180)</f>
        <v>0</v>
      </c>
      <c r="AU179" s="37">
        <f>SUM(AL180:AL180)</f>
        <v>0</v>
      </c>
    </row>
    <row r="180" spans="1:62" ht="12.75">
      <c r="A180" s="4" t="s">
        <v>105</v>
      </c>
      <c r="B180" s="4"/>
      <c r="C180" s="4" t="s">
        <v>227</v>
      </c>
      <c r="D180" s="4" t="s">
        <v>405</v>
      </c>
      <c r="E180" s="4" t="s">
        <v>447</v>
      </c>
      <c r="F180" s="17">
        <v>585.64</v>
      </c>
      <c r="G180" s="17"/>
      <c r="H180" s="17">
        <f>F180*AO180</f>
        <v>0</v>
      </c>
      <c r="I180" s="17">
        <f>F180*AP180</f>
        <v>0</v>
      </c>
      <c r="J180" s="17">
        <f>F180*G180</f>
        <v>0</v>
      </c>
      <c r="K180" s="17">
        <v>0</v>
      </c>
      <c r="L180" s="17">
        <f>F180*K180</f>
        <v>0</v>
      </c>
      <c r="M180" s="29"/>
      <c r="Z180" s="34">
        <f>IF(AQ180="5",BJ180,0)</f>
        <v>0</v>
      </c>
      <c r="AB180" s="34">
        <f>IF(AQ180="1",BH180,0)</f>
        <v>0</v>
      </c>
      <c r="AC180" s="34">
        <f>IF(AQ180="1",BI180,0)</f>
        <v>0</v>
      </c>
      <c r="AD180" s="34">
        <f>IF(AQ180="7",BH180,0)</f>
        <v>0</v>
      </c>
      <c r="AE180" s="34">
        <f>IF(AQ180="7",BI180,0)</f>
        <v>0</v>
      </c>
      <c r="AF180" s="34">
        <f>IF(AQ180="2",BH180,0)</f>
        <v>0</v>
      </c>
      <c r="AG180" s="34">
        <f>IF(AQ180="2",BI180,0)</f>
        <v>0</v>
      </c>
      <c r="AH180" s="34">
        <f>IF(AQ180="0",BJ180,0)</f>
        <v>0</v>
      </c>
      <c r="AI180" s="26"/>
      <c r="AJ180" s="17">
        <f>IF(AN180=0,J180,0)</f>
        <v>0</v>
      </c>
      <c r="AK180" s="17">
        <f>IF(AN180=15,J180,0)</f>
        <v>0</v>
      </c>
      <c r="AL180" s="17">
        <f>IF(AN180=21,J180,0)</f>
        <v>0</v>
      </c>
      <c r="AN180" s="34">
        <v>21</v>
      </c>
      <c r="AO180" s="34">
        <f>G180*0</f>
        <v>0</v>
      </c>
      <c r="AP180" s="34">
        <f>G180*(1-0)</f>
        <v>0</v>
      </c>
      <c r="AQ180" s="29" t="s">
        <v>11</v>
      </c>
      <c r="AV180" s="34">
        <f>AW180+AX180</f>
        <v>0</v>
      </c>
      <c r="AW180" s="34">
        <f>F180*AO180</f>
        <v>0</v>
      </c>
      <c r="AX180" s="34">
        <f>F180*AP180</f>
        <v>0</v>
      </c>
      <c r="AY180" s="35" t="s">
        <v>511</v>
      </c>
      <c r="AZ180" s="35" t="s">
        <v>529</v>
      </c>
      <c r="BA180" s="26" t="s">
        <v>531</v>
      </c>
      <c r="BC180" s="34">
        <f>AW180+AX180</f>
        <v>0</v>
      </c>
      <c r="BD180" s="34">
        <f>G180/(100-BE180)*100</f>
        <v>0</v>
      </c>
      <c r="BE180" s="34">
        <v>0</v>
      </c>
      <c r="BF180" s="34">
        <f>L180</f>
        <v>0</v>
      </c>
      <c r="BH180" s="17">
        <f>F180*AO180</f>
        <v>0</v>
      </c>
      <c r="BI180" s="17">
        <f>F180*AP180</f>
        <v>0</v>
      </c>
      <c r="BJ180" s="17">
        <f>F180*G180</f>
        <v>0</v>
      </c>
    </row>
    <row r="181" spans="1:47" ht="12.75">
      <c r="A181" s="5"/>
      <c r="B181" s="13"/>
      <c r="C181" s="13" t="s">
        <v>228</v>
      </c>
      <c r="D181" s="13" t="s">
        <v>406</v>
      </c>
      <c r="E181" s="5" t="s">
        <v>6</v>
      </c>
      <c r="F181" s="5" t="s">
        <v>6</v>
      </c>
      <c r="G181" s="5" t="s">
        <v>6</v>
      </c>
      <c r="H181" s="37">
        <f>SUM(H182:H182)</f>
        <v>0</v>
      </c>
      <c r="I181" s="37">
        <f>SUM(I182:I182)</f>
        <v>0</v>
      </c>
      <c r="J181" s="37">
        <f>SUM(J182:J182)</f>
        <v>0</v>
      </c>
      <c r="K181" s="26"/>
      <c r="L181" s="37">
        <f>SUM(L182:L182)</f>
        <v>0</v>
      </c>
      <c r="M181" s="26"/>
      <c r="AI181" s="26"/>
      <c r="AS181" s="37">
        <f>SUM(AJ182:AJ182)</f>
        <v>0</v>
      </c>
      <c r="AT181" s="37">
        <f>SUM(AK182:AK182)</f>
        <v>0</v>
      </c>
      <c r="AU181" s="37">
        <f>SUM(AL182:AL182)</f>
        <v>0</v>
      </c>
    </row>
    <row r="182" spans="1:62" ht="12.75">
      <c r="A182" s="4" t="s">
        <v>106</v>
      </c>
      <c r="B182" s="4"/>
      <c r="C182" s="4" t="s">
        <v>229</v>
      </c>
      <c r="D182" s="4" t="s">
        <v>407</v>
      </c>
      <c r="E182" s="4" t="s">
        <v>444</v>
      </c>
      <c r="F182" s="17">
        <v>100</v>
      </c>
      <c r="G182" s="17"/>
      <c r="H182" s="17">
        <f>F182*AO182</f>
        <v>0</v>
      </c>
      <c r="I182" s="17">
        <f>F182*AP182</f>
        <v>0</v>
      </c>
      <c r="J182" s="17">
        <f>F182*G182</f>
        <v>0</v>
      </c>
      <c r="K182" s="17">
        <v>0</v>
      </c>
      <c r="L182" s="17">
        <f>F182*K182</f>
        <v>0</v>
      </c>
      <c r="M182" s="29"/>
      <c r="Z182" s="34">
        <f>IF(AQ182="5",BJ182,0)</f>
        <v>0</v>
      </c>
      <c r="AB182" s="34">
        <f>IF(AQ182="1",BH182,0)</f>
        <v>0</v>
      </c>
      <c r="AC182" s="34">
        <f>IF(AQ182="1",BI182,0)</f>
        <v>0</v>
      </c>
      <c r="AD182" s="34">
        <f>IF(AQ182="7",BH182,0)</f>
        <v>0</v>
      </c>
      <c r="AE182" s="34">
        <f>IF(AQ182="7",BI182,0)</f>
        <v>0</v>
      </c>
      <c r="AF182" s="34">
        <f>IF(AQ182="2",BH182,0)</f>
        <v>0</v>
      </c>
      <c r="AG182" s="34">
        <f>IF(AQ182="2",BI182,0)</f>
        <v>0</v>
      </c>
      <c r="AH182" s="34">
        <f>IF(AQ182="0",BJ182,0)</f>
        <v>0</v>
      </c>
      <c r="AI182" s="26"/>
      <c r="AJ182" s="17">
        <f>IF(AN182=0,J182,0)</f>
        <v>0</v>
      </c>
      <c r="AK182" s="17">
        <f>IF(AN182=15,J182,0)</f>
        <v>0</v>
      </c>
      <c r="AL182" s="17">
        <f>IF(AN182=21,J182,0)</f>
        <v>0</v>
      </c>
      <c r="AN182" s="34">
        <v>21</v>
      </c>
      <c r="AO182" s="34">
        <f>G182*0</f>
        <v>0</v>
      </c>
      <c r="AP182" s="34">
        <f>G182*(1-0)</f>
        <v>0</v>
      </c>
      <c r="AQ182" s="29" t="s">
        <v>8</v>
      </c>
      <c r="AV182" s="34">
        <f>AW182+AX182</f>
        <v>0</v>
      </c>
      <c r="AW182" s="34">
        <f>F182*AO182</f>
        <v>0</v>
      </c>
      <c r="AX182" s="34">
        <f>F182*AP182</f>
        <v>0</v>
      </c>
      <c r="AY182" s="35" t="s">
        <v>512</v>
      </c>
      <c r="AZ182" s="35" t="s">
        <v>529</v>
      </c>
      <c r="BA182" s="26" t="s">
        <v>531</v>
      </c>
      <c r="BC182" s="34">
        <f>AW182+AX182</f>
        <v>0</v>
      </c>
      <c r="BD182" s="34">
        <f>G182/(100-BE182)*100</f>
        <v>0</v>
      </c>
      <c r="BE182" s="34">
        <v>0</v>
      </c>
      <c r="BF182" s="34">
        <f>L182</f>
        <v>0</v>
      </c>
      <c r="BH182" s="17">
        <f>F182*AO182</f>
        <v>0</v>
      </c>
      <c r="BI182" s="17">
        <f>F182*AP182</f>
        <v>0</v>
      </c>
      <c r="BJ182" s="17">
        <f>F182*G182</f>
        <v>0</v>
      </c>
    </row>
    <row r="183" ht="12.75">
      <c r="D183" s="15" t="s">
        <v>408</v>
      </c>
    </row>
    <row r="184" spans="1:47" ht="12.75">
      <c r="A184" s="5"/>
      <c r="B184" s="13"/>
      <c r="C184" s="13" t="s">
        <v>230</v>
      </c>
      <c r="D184" s="13" t="s">
        <v>409</v>
      </c>
      <c r="E184" s="5" t="s">
        <v>6</v>
      </c>
      <c r="F184" s="5" t="s">
        <v>6</v>
      </c>
      <c r="G184" s="5" t="s">
        <v>6</v>
      </c>
      <c r="H184" s="37">
        <f>SUM(H185:H185)</f>
        <v>0</v>
      </c>
      <c r="I184" s="37">
        <f>SUM(I185:I185)</f>
        <v>0</v>
      </c>
      <c r="J184" s="37">
        <f>SUM(J185:J185)</f>
        <v>0</v>
      </c>
      <c r="K184" s="26"/>
      <c r="L184" s="37">
        <f>SUM(L185:L185)</f>
        <v>0</v>
      </c>
      <c r="M184" s="26"/>
      <c r="AI184" s="26"/>
      <c r="AS184" s="37">
        <f>SUM(AJ185:AJ185)</f>
        <v>0</v>
      </c>
      <c r="AT184" s="37">
        <f>SUM(AK185:AK185)</f>
        <v>0</v>
      </c>
      <c r="AU184" s="37">
        <f>SUM(AL185:AL185)</f>
        <v>0</v>
      </c>
    </row>
    <row r="185" spans="1:62" ht="12.75">
      <c r="A185" s="4" t="s">
        <v>107</v>
      </c>
      <c r="B185" s="4"/>
      <c r="C185" s="4" t="s">
        <v>231</v>
      </c>
      <c r="D185" s="4" t="s">
        <v>410</v>
      </c>
      <c r="E185" s="4" t="s">
        <v>443</v>
      </c>
      <c r="F185" s="17">
        <v>160</v>
      </c>
      <c r="G185" s="17"/>
      <c r="H185" s="17">
        <f>F185*AO185</f>
        <v>0</v>
      </c>
      <c r="I185" s="17">
        <f>F185*AP185</f>
        <v>0</v>
      </c>
      <c r="J185" s="17">
        <f>F185*G185</f>
        <v>0</v>
      </c>
      <c r="K185" s="17">
        <v>0</v>
      </c>
      <c r="L185" s="17">
        <f>F185*K185</f>
        <v>0</v>
      </c>
      <c r="M185" s="29"/>
      <c r="Z185" s="34">
        <f>IF(AQ185="5",BJ185,0)</f>
        <v>0</v>
      </c>
      <c r="AB185" s="34">
        <f>IF(AQ185="1",BH185,0)</f>
        <v>0</v>
      </c>
      <c r="AC185" s="34">
        <f>IF(AQ185="1",BI185,0)</f>
        <v>0</v>
      </c>
      <c r="AD185" s="34">
        <f>IF(AQ185="7",BH185,0)</f>
        <v>0</v>
      </c>
      <c r="AE185" s="34">
        <f>IF(AQ185="7",BI185,0)</f>
        <v>0</v>
      </c>
      <c r="AF185" s="34">
        <f>IF(AQ185="2",BH185,0)</f>
        <v>0</v>
      </c>
      <c r="AG185" s="34">
        <f>IF(AQ185="2",BI185,0)</f>
        <v>0</v>
      </c>
      <c r="AH185" s="34">
        <f>IF(AQ185="0",BJ185,0)</f>
        <v>0</v>
      </c>
      <c r="AI185" s="26"/>
      <c r="AJ185" s="17">
        <f>IF(AN185=0,J185,0)</f>
        <v>0</v>
      </c>
      <c r="AK185" s="17">
        <f>IF(AN185=15,J185,0)</f>
        <v>0</v>
      </c>
      <c r="AL185" s="17">
        <f>IF(AN185=21,J185,0)</f>
        <v>0</v>
      </c>
      <c r="AN185" s="34">
        <v>21</v>
      </c>
      <c r="AO185" s="34">
        <f>G185*0</f>
        <v>0</v>
      </c>
      <c r="AP185" s="34">
        <f>G185*(1-0)</f>
        <v>0</v>
      </c>
      <c r="AQ185" s="29" t="s">
        <v>8</v>
      </c>
      <c r="AV185" s="34">
        <f>AW185+AX185</f>
        <v>0</v>
      </c>
      <c r="AW185" s="34">
        <f>F185*AO185</f>
        <v>0</v>
      </c>
      <c r="AX185" s="34">
        <f>F185*AP185</f>
        <v>0</v>
      </c>
      <c r="AY185" s="35" t="s">
        <v>513</v>
      </c>
      <c r="AZ185" s="35" t="s">
        <v>529</v>
      </c>
      <c r="BA185" s="26" t="s">
        <v>531</v>
      </c>
      <c r="BC185" s="34">
        <f>AW185+AX185</f>
        <v>0</v>
      </c>
      <c r="BD185" s="34">
        <f>G185/(100-BE185)*100</f>
        <v>0</v>
      </c>
      <c r="BE185" s="34">
        <v>0</v>
      </c>
      <c r="BF185" s="34">
        <f>L185</f>
        <v>0</v>
      </c>
      <c r="BH185" s="17">
        <f>F185*AO185</f>
        <v>0</v>
      </c>
      <c r="BI185" s="17">
        <f>F185*AP185</f>
        <v>0</v>
      </c>
      <c r="BJ185" s="17">
        <f>F185*G185</f>
        <v>0</v>
      </c>
    </row>
    <row r="186" ht="12.75">
      <c r="D186" s="15" t="s">
        <v>411</v>
      </c>
    </row>
    <row r="187" spans="1:47" ht="12.75">
      <c r="A187" s="5"/>
      <c r="B187" s="13"/>
      <c r="C187" s="13" t="s">
        <v>232</v>
      </c>
      <c r="D187" s="13" t="s">
        <v>412</v>
      </c>
      <c r="E187" s="5" t="s">
        <v>6</v>
      </c>
      <c r="F187" s="5" t="s">
        <v>6</v>
      </c>
      <c r="G187" s="5" t="s">
        <v>6</v>
      </c>
      <c r="H187" s="37">
        <f>SUM(H188:H194)</f>
        <v>0</v>
      </c>
      <c r="I187" s="37">
        <f>SUM(I188:I194)</f>
        <v>0</v>
      </c>
      <c r="J187" s="37">
        <f>SUM(J188:J194)</f>
        <v>0</v>
      </c>
      <c r="K187" s="26"/>
      <c r="L187" s="37">
        <f>SUM(L188:L194)</f>
        <v>69.36485</v>
      </c>
      <c r="M187" s="26"/>
      <c r="AI187" s="26"/>
      <c r="AS187" s="37">
        <f>SUM(AJ188:AJ194)</f>
        <v>0</v>
      </c>
      <c r="AT187" s="37">
        <f>SUM(AK188:AK194)</f>
        <v>0</v>
      </c>
      <c r="AU187" s="37">
        <f>SUM(AL188:AL194)</f>
        <v>0</v>
      </c>
    </row>
    <row r="188" spans="1:62" ht="12.75">
      <c r="A188" s="58" t="s">
        <v>108</v>
      </c>
      <c r="B188" s="58"/>
      <c r="C188" s="58" t="s">
        <v>233</v>
      </c>
      <c r="D188" s="58" t="s">
        <v>413</v>
      </c>
      <c r="E188" s="58" t="s">
        <v>443</v>
      </c>
      <c r="F188" s="59">
        <v>353</v>
      </c>
      <c r="G188" s="59"/>
      <c r="H188" s="59">
        <f>F188*AO188</f>
        <v>0</v>
      </c>
      <c r="I188" s="59">
        <f>F188*AP188</f>
        <v>0</v>
      </c>
      <c r="J188" s="59">
        <f>F188*G188</f>
        <v>0</v>
      </c>
      <c r="K188" s="59">
        <v>0.00031</v>
      </c>
      <c r="L188" s="59">
        <f>F188*K188</f>
        <v>0.10943</v>
      </c>
      <c r="M188" s="60"/>
      <c r="Z188" s="34">
        <f>IF(AQ188="5",BJ188,0)</f>
        <v>0</v>
      </c>
      <c r="AB188" s="34">
        <f>IF(AQ188="1",BH188,0)</f>
        <v>0</v>
      </c>
      <c r="AC188" s="34">
        <f>IF(AQ188="1",BI188,0)</f>
        <v>0</v>
      </c>
      <c r="AD188" s="34">
        <f>IF(AQ188="7",BH188,0)</f>
        <v>0</v>
      </c>
      <c r="AE188" s="34">
        <f>IF(AQ188="7",BI188,0)</f>
        <v>0</v>
      </c>
      <c r="AF188" s="34">
        <f>IF(AQ188="2",BH188,0)</f>
        <v>0</v>
      </c>
      <c r="AG188" s="34">
        <f>IF(AQ188="2",BI188,0)</f>
        <v>0</v>
      </c>
      <c r="AH188" s="34">
        <f>IF(AQ188="0",BJ188,0)</f>
        <v>0</v>
      </c>
      <c r="AI188" s="26"/>
      <c r="AJ188" s="17">
        <f>IF(AN188=0,J188,0)</f>
        <v>0</v>
      </c>
      <c r="AK188" s="17">
        <f>IF(AN188=15,J188,0)</f>
        <v>0</v>
      </c>
      <c r="AL188" s="17">
        <f>IF(AN188=21,J188,0)</f>
        <v>0</v>
      </c>
      <c r="AN188" s="34">
        <v>21</v>
      </c>
      <c r="AO188" s="34">
        <f>G188*0.342384105960265</f>
        <v>0</v>
      </c>
      <c r="AP188" s="34">
        <f>G188*(1-0.342384105960265)</f>
        <v>0</v>
      </c>
      <c r="AQ188" s="29" t="s">
        <v>8</v>
      </c>
      <c r="AV188" s="34">
        <f>AW188+AX188</f>
        <v>0</v>
      </c>
      <c r="AW188" s="34">
        <f>F188*AO188</f>
        <v>0</v>
      </c>
      <c r="AX188" s="34">
        <f>F188*AP188</f>
        <v>0</v>
      </c>
      <c r="AY188" s="35" t="s">
        <v>514</v>
      </c>
      <c r="AZ188" s="35" t="s">
        <v>529</v>
      </c>
      <c r="BA188" s="26" t="s">
        <v>531</v>
      </c>
      <c r="BC188" s="34">
        <f>AW188+AX188</f>
        <v>0</v>
      </c>
      <c r="BD188" s="34">
        <f>G188/(100-BE188)*100</f>
        <v>0</v>
      </c>
      <c r="BE188" s="34">
        <v>0</v>
      </c>
      <c r="BF188" s="34">
        <f>L188</f>
        <v>0.10943</v>
      </c>
      <c r="BH188" s="17">
        <f>F188*AO188</f>
        <v>0</v>
      </c>
      <c r="BI188" s="17">
        <f>F188*AP188</f>
        <v>0</v>
      </c>
      <c r="BJ188" s="17">
        <f>F188*G188</f>
        <v>0</v>
      </c>
    </row>
    <row r="189" ht="12.75">
      <c r="D189" s="15" t="s">
        <v>414</v>
      </c>
    </row>
    <row r="190" spans="1:62" ht="12.75">
      <c r="A190" s="4" t="s">
        <v>109</v>
      </c>
      <c r="B190" s="4"/>
      <c r="C190" s="4" t="s">
        <v>234</v>
      </c>
      <c r="D190" s="4" t="s">
        <v>415</v>
      </c>
      <c r="E190" s="4" t="s">
        <v>446</v>
      </c>
      <c r="F190" s="17">
        <v>587.74</v>
      </c>
      <c r="G190" s="17"/>
      <c r="H190" s="17">
        <f>F190*AO190</f>
        <v>0</v>
      </c>
      <c r="I190" s="17">
        <f>F190*AP190</f>
        <v>0</v>
      </c>
      <c r="J190" s="17">
        <f>F190*G190</f>
        <v>0</v>
      </c>
      <c r="K190" s="17">
        <v>0</v>
      </c>
      <c r="L190" s="17">
        <f>F190*K190</f>
        <v>0</v>
      </c>
      <c r="M190" s="29"/>
      <c r="Z190" s="34">
        <f>IF(AQ190="5",BJ190,0)</f>
        <v>0</v>
      </c>
      <c r="AB190" s="34">
        <f>IF(AQ190="1",BH190,0)</f>
        <v>0</v>
      </c>
      <c r="AC190" s="34">
        <f>IF(AQ190="1",BI190,0)</f>
        <v>0</v>
      </c>
      <c r="AD190" s="34">
        <f>IF(AQ190="7",BH190,0)</f>
        <v>0</v>
      </c>
      <c r="AE190" s="34">
        <f>IF(AQ190="7",BI190,0)</f>
        <v>0</v>
      </c>
      <c r="AF190" s="34">
        <f>IF(AQ190="2",BH190,0)</f>
        <v>0</v>
      </c>
      <c r="AG190" s="34">
        <f>IF(AQ190="2",BI190,0)</f>
        <v>0</v>
      </c>
      <c r="AH190" s="34">
        <f>IF(AQ190="0",BJ190,0)</f>
        <v>0</v>
      </c>
      <c r="AI190" s="26"/>
      <c r="AJ190" s="17">
        <f>IF(AN190=0,J190,0)</f>
        <v>0</v>
      </c>
      <c r="AK190" s="17">
        <f>IF(AN190=15,J190,0)</f>
        <v>0</v>
      </c>
      <c r="AL190" s="17">
        <f>IF(AN190=21,J190,0)</f>
        <v>0</v>
      </c>
      <c r="AN190" s="34">
        <v>21</v>
      </c>
      <c r="AO190" s="34">
        <f>G190*0</f>
        <v>0</v>
      </c>
      <c r="AP190" s="34">
        <f>G190*(1-0)</f>
        <v>0</v>
      </c>
      <c r="AQ190" s="29" t="s">
        <v>8</v>
      </c>
      <c r="AV190" s="34">
        <f>AW190+AX190</f>
        <v>0</v>
      </c>
      <c r="AW190" s="34">
        <f>F190*AO190</f>
        <v>0</v>
      </c>
      <c r="AX190" s="34">
        <f>F190*AP190</f>
        <v>0</v>
      </c>
      <c r="AY190" s="35" t="s">
        <v>514</v>
      </c>
      <c r="AZ190" s="35" t="s">
        <v>529</v>
      </c>
      <c r="BA190" s="26" t="s">
        <v>531</v>
      </c>
      <c r="BC190" s="34">
        <f>AW190+AX190</f>
        <v>0</v>
      </c>
      <c r="BD190" s="34">
        <f>G190/(100-BE190)*100</f>
        <v>0</v>
      </c>
      <c r="BE190" s="34">
        <v>0</v>
      </c>
      <c r="BF190" s="34">
        <f>L190</f>
        <v>0</v>
      </c>
      <c r="BH190" s="17">
        <f>F190*AO190</f>
        <v>0</v>
      </c>
      <c r="BI190" s="17">
        <f>F190*AP190</f>
        <v>0</v>
      </c>
      <c r="BJ190" s="17">
        <f>F190*G190</f>
        <v>0</v>
      </c>
    </row>
    <row r="191" ht="12.75">
      <c r="D191" s="15" t="s">
        <v>416</v>
      </c>
    </row>
    <row r="192" spans="1:62" ht="12.75">
      <c r="A192" s="58" t="s">
        <v>110</v>
      </c>
      <c r="B192" s="58"/>
      <c r="C192" s="58" t="s">
        <v>235</v>
      </c>
      <c r="D192" s="58" t="s">
        <v>417</v>
      </c>
      <c r="E192" s="58" t="s">
        <v>443</v>
      </c>
      <c r="F192" s="59">
        <v>195</v>
      </c>
      <c r="G192" s="59"/>
      <c r="H192" s="59">
        <f>F192*AO192</f>
        <v>0</v>
      </c>
      <c r="I192" s="59">
        <f>F192*AP192</f>
        <v>0</v>
      </c>
      <c r="J192" s="59">
        <f>F192*G192</f>
        <v>0</v>
      </c>
      <c r="K192" s="59">
        <v>0.26486</v>
      </c>
      <c r="L192" s="59">
        <f>F192*K192</f>
        <v>51.6477</v>
      </c>
      <c r="M192" s="60"/>
      <c r="Z192" s="34">
        <f>IF(AQ192="5",BJ192,0)</f>
        <v>0</v>
      </c>
      <c r="AB192" s="34">
        <f>IF(AQ192="1",BH192,0)</f>
        <v>0</v>
      </c>
      <c r="AC192" s="34">
        <f>IF(AQ192="1",BI192,0)</f>
        <v>0</v>
      </c>
      <c r="AD192" s="34">
        <f>IF(AQ192="7",BH192,0)</f>
        <v>0</v>
      </c>
      <c r="AE192" s="34">
        <f>IF(AQ192="7",BI192,0)</f>
        <v>0</v>
      </c>
      <c r="AF192" s="34">
        <f>IF(AQ192="2",BH192,0)</f>
        <v>0</v>
      </c>
      <c r="AG192" s="34">
        <f>IF(AQ192="2",BI192,0)</f>
        <v>0</v>
      </c>
      <c r="AH192" s="34">
        <f>IF(AQ192="0",BJ192,0)</f>
        <v>0</v>
      </c>
      <c r="AI192" s="26"/>
      <c r="AJ192" s="17">
        <f>IF(AN192=0,J192,0)</f>
        <v>0</v>
      </c>
      <c r="AK192" s="17">
        <f>IF(AN192=15,J192,0)</f>
        <v>0</v>
      </c>
      <c r="AL192" s="17">
        <f>IF(AN192=21,J192,0)</f>
        <v>0</v>
      </c>
      <c r="AN192" s="34">
        <v>21</v>
      </c>
      <c r="AO192" s="34">
        <f>G192*0.683507462686567</f>
        <v>0</v>
      </c>
      <c r="AP192" s="34">
        <f>G192*(1-0.683507462686567)</f>
        <v>0</v>
      </c>
      <c r="AQ192" s="29" t="s">
        <v>8</v>
      </c>
      <c r="AV192" s="34">
        <f>AW192+AX192</f>
        <v>0</v>
      </c>
      <c r="AW192" s="34">
        <f>F192*AO192</f>
        <v>0</v>
      </c>
      <c r="AX192" s="34">
        <f>F192*AP192</f>
        <v>0</v>
      </c>
      <c r="AY192" s="35" t="s">
        <v>514</v>
      </c>
      <c r="AZ192" s="35" t="s">
        <v>529</v>
      </c>
      <c r="BA192" s="26" t="s">
        <v>531</v>
      </c>
      <c r="BC192" s="34">
        <f>AW192+AX192</f>
        <v>0</v>
      </c>
      <c r="BD192" s="34">
        <f>G192/(100-BE192)*100</f>
        <v>0</v>
      </c>
      <c r="BE192" s="34">
        <v>0</v>
      </c>
      <c r="BF192" s="34">
        <f>L192</f>
        <v>51.6477</v>
      </c>
      <c r="BH192" s="17">
        <f>F192*AO192</f>
        <v>0</v>
      </c>
      <c r="BI192" s="17">
        <f>F192*AP192</f>
        <v>0</v>
      </c>
      <c r="BJ192" s="17">
        <f>F192*G192</f>
        <v>0</v>
      </c>
    </row>
    <row r="193" ht="12.75">
      <c r="D193" s="15" t="s">
        <v>418</v>
      </c>
    </row>
    <row r="194" spans="1:62" ht="12.75">
      <c r="A194" s="4" t="s">
        <v>111</v>
      </c>
      <c r="B194" s="4"/>
      <c r="C194" s="4" t="s">
        <v>236</v>
      </c>
      <c r="D194" s="4" t="s">
        <v>419</v>
      </c>
      <c r="E194" s="4" t="s">
        <v>443</v>
      </c>
      <c r="F194" s="17">
        <v>52</v>
      </c>
      <c r="G194" s="17"/>
      <c r="H194" s="17">
        <f>F194*AO194</f>
        <v>0</v>
      </c>
      <c r="I194" s="17">
        <f>F194*AP194</f>
        <v>0</v>
      </c>
      <c r="J194" s="17">
        <f>F194*G194</f>
        <v>0</v>
      </c>
      <c r="K194" s="17">
        <v>0.33861</v>
      </c>
      <c r="L194" s="17">
        <f>F194*K194</f>
        <v>17.60772</v>
      </c>
      <c r="M194" s="29"/>
      <c r="Z194" s="34">
        <f>IF(AQ194="5",BJ194,0)</f>
        <v>0</v>
      </c>
      <c r="AB194" s="34">
        <f>IF(AQ194="1",BH194,0)</f>
        <v>0</v>
      </c>
      <c r="AC194" s="34">
        <f>IF(AQ194="1",BI194,0)</f>
        <v>0</v>
      </c>
      <c r="AD194" s="34">
        <f>IF(AQ194="7",BH194,0)</f>
        <v>0</v>
      </c>
      <c r="AE194" s="34">
        <f>IF(AQ194="7",BI194,0)</f>
        <v>0</v>
      </c>
      <c r="AF194" s="34">
        <f>IF(AQ194="2",BH194,0)</f>
        <v>0</v>
      </c>
      <c r="AG194" s="34">
        <f>IF(AQ194="2",BI194,0)</f>
        <v>0</v>
      </c>
      <c r="AH194" s="34">
        <f>IF(AQ194="0",BJ194,0)</f>
        <v>0</v>
      </c>
      <c r="AI194" s="26"/>
      <c r="AJ194" s="17">
        <f>IF(AN194=0,J194,0)</f>
        <v>0</v>
      </c>
      <c r="AK194" s="17">
        <f>IF(AN194=15,J194,0)</f>
        <v>0</v>
      </c>
      <c r="AL194" s="17">
        <f>IF(AN194=21,J194,0)</f>
        <v>0</v>
      </c>
      <c r="AN194" s="34">
        <v>21</v>
      </c>
      <c r="AO194" s="34">
        <f>G194*0.468112745098039</f>
        <v>0</v>
      </c>
      <c r="AP194" s="34">
        <f>G194*(1-0.468112745098039)</f>
        <v>0</v>
      </c>
      <c r="AQ194" s="29" t="s">
        <v>8</v>
      </c>
      <c r="AV194" s="34">
        <f>AW194+AX194</f>
        <v>0</v>
      </c>
      <c r="AW194" s="34">
        <f>F194*AO194</f>
        <v>0</v>
      </c>
      <c r="AX194" s="34">
        <f>F194*AP194</f>
        <v>0</v>
      </c>
      <c r="AY194" s="35" t="s">
        <v>514</v>
      </c>
      <c r="AZ194" s="35" t="s">
        <v>529</v>
      </c>
      <c r="BA194" s="26" t="s">
        <v>531</v>
      </c>
      <c r="BC194" s="34">
        <f>AW194+AX194</f>
        <v>0</v>
      </c>
      <c r="BD194" s="34">
        <f>G194/(100-BE194)*100</f>
        <v>0</v>
      </c>
      <c r="BE194" s="34">
        <v>0</v>
      </c>
      <c r="BF194" s="34">
        <f>L194</f>
        <v>17.60772</v>
      </c>
      <c r="BH194" s="17">
        <f>F194*AO194</f>
        <v>0</v>
      </c>
      <c r="BI194" s="17">
        <f>F194*AP194</f>
        <v>0</v>
      </c>
      <c r="BJ194" s="17">
        <f>F194*G194</f>
        <v>0</v>
      </c>
    </row>
    <row r="195" ht="12.75">
      <c r="D195" s="15" t="s">
        <v>420</v>
      </c>
    </row>
    <row r="196" spans="1:47" ht="12.75">
      <c r="A196" s="5"/>
      <c r="B196" s="13"/>
      <c r="C196" s="13" t="s">
        <v>237</v>
      </c>
      <c r="D196" s="13" t="s">
        <v>421</v>
      </c>
      <c r="E196" s="5" t="s">
        <v>6</v>
      </c>
      <c r="F196" s="5" t="s">
        <v>6</v>
      </c>
      <c r="G196" s="5" t="s">
        <v>6</v>
      </c>
      <c r="H196" s="37">
        <f>SUM(H197:H201)</f>
        <v>0</v>
      </c>
      <c r="I196" s="37">
        <f>SUM(I197:I201)</f>
        <v>0</v>
      </c>
      <c r="J196" s="37">
        <f>SUM(J197:J201)</f>
        <v>0</v>
      </c>
      <c r="K196" s="26"/>
      <c r="L196" s="37">
        <f>SUM(L197:L201)</f>
        <v>0</v>
      </c>
      <c r="M196" s="26"/>
      <c r="AI196" s="26"/>
      <c r="AS196" s="37">
        <f>SUM(AJ197:AJ201)</f>
        <v>0</v>
      </c>
      <c r="AT196" s="37">
        <f>SUM(AK197:AK201)</f>
        <v>0</v>
      </c>
      <c r="AU196" s="37">
        <f>SUM(AL197:AL201)</f>
        <v>0</v>
      </c>
    </row>
    <row r="197" spans="1:62" ht="12.75">
      <c r="A197" s="4" t="s">
        <v>112</v>
      </c>
      <c r="B197" s="4"/>
      <c r="C197" s="4" t="s">
        <v>238</v>
      </c>
      <c r="D197" s="4" t="s">
        <v>422</v>
      </c>
      <c r="E197" s="4" t="s">
        <v>447</v>
      </c>
      <c r="F197" s="17">
        <v>157.86</v>
      </c>
      <c r="G197" s="17"/>
      <c r="H197" s="17">
        <f>F197*AO197</f>
        <v>0</v>
      </c>
      <c r="I197" s="17">
        <f>F197*AP197</f>
        <v>0</v>
      </c>
      <c r="J197" s="17">
        <f>F197*G197</f>
        <v>0</v>
      </c>
      <c r="K197" s="17">
        <v>0</v>
      </c>
      <c r="L197" s="17">
        <f>F197*K197</f>
        <v>0</v>
      </c>
      <c r="M197" s="29"/>
      <c r="Z197" s="34">
        <f>IF(AQ197="5",BJ197,0)</f>
        <v>0</v>
      </c>
      <c r="AB197" s="34">
        <f>IF(AQ197="1",BH197,0)</f>
        <v>0</v>
      </c>
      <c r="AC197" s="34">
        <f>IF(AQ197="1",BI197,0)</f>
        <v>0</v>
      </c>
      <c r="AD197" s="34">
        <f>IF(AQ197="7",BH197,0)</f>
        <v>0</v>
      </c>
      <c r="AE197" s="34">
        <f>IF(AQ197="7",BI197,0)</f>
        <v>0</v>
      </c>
      <c r="AF197" s="34">
        <f>IF(AQ197="2",BH197,0)</f>
        <v>0</v>
      </c>
      <c r="AG197" s="34">
        <f>IF(AQ197="2",BI197,0)</f>
        <v>0</v>
      </c>
      <c r="AH197" s="34">
        <f>IF(AQ197="0",BJ197,0)</f>
        <v>0</v>
      </c>
      <c r="AI197" s="26"/>
      <c r="AJ197" s="17">
        <f>IF(AN197=0,J197,0)</f>
        <v>0</v>
      </c>
      <c r="AK197" s="17">
        <f>IF(AN197=15,J197,0)</f>
        <v>0</v>
      </c>
      <c r="AL197" s="17">
        <f>IF(AN197=21,J197,0)</f>
        <v>0</v>
      </c>
      <c r="AN197" s="34">
        <v>21</v>
      </c>
      <c r="AO197" s="34">
        <f>G197*0</f>
        <v>0</v>
      </c>
      <c r="AP197" s="34">
        <f>G197*(1-0)</f>
        <v>0</v>
      </c>
      <c r="AQ197" s="29" t="s">
        <v>11</v>
      </c>
      <c r="AV197" s="34">
        <f>AW197+AX197</f>
        <v>0</v>
      </c>
      <c r="AW197" s="34">
        <f>F197*AO197</f>
        <v>0</v>
      </c>
      <c r="AX197" s="34">
        <f>F197*AP197</f>
        <v>0</v>
      </c>
      <c r="AY197" s="35" t="s">
        <v>515</v>
      </c>
      <c r="AZ197" s="35" t="s">
        <v>529</v>
      </c>
      <c r="BA197" s="26" t="s">
        <v>531</v>
      </c>
      <c r="BC197" s="34">
        <f>AW197+AX197</f>
        <v>0</v>
      </c>
      <c r="BD197" s="34">
        <f>G197/(100-BE197)*100</f>
        <v>0</v>
      </c>
      <c r="BE197" s="34">
        <v>0</v>
      </c>
      <c r="BF197" s="34">
        <f>L197</f>
        <v>0</v>
      </c>
      <c r="BH197" s="17">
        <f>F197*AO197</f>
        <v>0</v>
      </c>
      <c r="BI197" s="17">
        <f>F197*AP197</f>
        <v>0</v>
      </c>
      <c r="BJ197" s="17">
        <f>F197*G197</f>
        <v>0</v>
      </c>
    </row>
    <row r="198" spans="1:62" ht="12.75">
      <c r="A198" s="4" t="s">
        <v>113</v>
      </c>
      <c r="B198" s="4"/>
      <c r="C198" s="4" t="s">
        <v>239</v>
      </c>
      <c r="D198" s="4" t="s">
        <v>423</v>
      </c>
      <c r="E198" s="4" t="s">
        <v>447</v>
      </c>
      <c r="F198" s="17">
        <v>157.86</v>
      </c>
      <c r="G198" s="17"/>
      <c r="H198" s="17">
        <f>F198*AO198</f>
        <v>0</v>
      </c>
      <c r="I198" s="17">
        <f>F198*AP198</f>
        <v>0</v>
      </c>
      <c r="J198" s="17">
        <f>F198*G198</f>
        <v>0</v>
      </c>
      <c r="K198" s="17">
        <v>0</v>
      </c>
      <c r="L198" s="17">
        <f>F198*K198</f>
        <v>0</v>
      </c>
      <c r="M198" s="29"/>
      <c r="Z198" s="34">
        <f>IF(AQ198="5",BJ198,0)</f>
        <v>0</v>
      </c>
      <c r="AB198" s="34">
        <f>IF(AQ198="1",BH198,0)</f>
        <v>0</v>
      </c>
      <c r="AC198" s="34">
        <f>IF(AQ198="1",BI198,0)</f>
        <v>0</v>
      </c>
      <c r="AD198" s="34">
        <f>IF(AQ198="7",BH198,0)</f>
        <v>0</v>
      </c>
      <c r="AE198" s="34">
        <f>IF(AQ198="7",BI198,0)</f>
        <v>0</v>
      </c>
      <c r="AF198" s="34">
        <f>IF(AQ198="2",BH198,0)</f>
        <v>0</v>
      </c>
      <c r="AG198" s="34">
        <f>IF(AQ198="2",BI198,0)</f>
        <v>0</v>
      </c>
      <c r="AH198" s="34">
        <f>IF(AQ198="0",BJ198,0)</f>
        <v>0</v>
      </c>
      <c r="AI198" s="26"/>
      <c r="AJ198" s="17">
        <f>IF(AN198=0,J198,0)</f>
        <v>0</v>
      </c>
      <c r="AK198" s="17">
        <f>IF(AN198=15,J198,0)</f>
        <v>0</v>
      </c>
      <c r="AL198" s="17">
        <f>IF(AN198=21,J198,0)</f>
        <v>0</v>
      </c>
      <c r="AN198" s="34">
        <v>21</v>
      </c>
      <c r="AO198" s="34">
        <f>G198*0</f>
        <v>0</v>
      </c>
      <c r="AP198" s="34">
        <f>G198*(1-0)</f>
        <v>0</v>
      </c>
      <c r="AQ198" s="29" t="s">
        <v>11</v>
      </c>
      <c r="AV198" s="34">
        <f>AW198+AX198</f>
        <v>0</v>
      </c>
      <c r="AW198" s="34">
        <f>F198*AO198</f>
        <v>0</v>
      </c>
      <c r="AX198" s="34">
        <f>F198*AP198</f>
        <v>0</v>
      </c>
      <c r="AY198" s="35" t="s">
        <v>515</v>
      </c>
      <c r="AZ198" s="35" t="s">
        <v>529</v>
      </c>
      <c r="BA198" s="26" t="s">
        <v>531</v>
      </c>
      <c r="BC198" s="34">
        <f>AW198+AX198</f>
        <v>0</v>
      </c>
      <c r="BD198" s="34">
        <f>G198/(100-BE198)*100</f>
        <v>0</v>
      </c>
      <c r="BE198" s="34">
        <v>0</v>
      </c>
      <c r="BF198" s="34">
        <f>L198</f>
        <v>0</v>
      </c>
      <c r="BH198" s="17">
        <f>F198*AO198</f>
        <v>0</v>
      </c>
      <c r="BI198" s="17">
        <f>F198*AP198</f>
        <v>0</v>
      </c>
      <c r="BJ198" s="17">
        <f>F198*G198</f>
        <v>0</v>
      </c>
    </row>
    <row r="199" spans="1:62" ht="12.75">
      <c r="A199" s="4" t="s">
        <v>114</v>
      </c>
      <c r="B199" s="4"/>
      <c r="C199" s="4" t="s">
        <v>240</v>
      </c>
      <c r="D199" s="4" t="s">
        <v>424</v>
      </c>
      <c r="E199" s="4" t="s">
        <v>447</v>
      </c>
      <c r="F199" s="17">
        <v>1420.74</v>
      </c>
      <c r="G199" s="17"/>
      <c r="H199" s="17">
        <f>F199*AO199</f>
        <v>0</v>
      </c>
      <c r="I199" s="17">
        <f>F199*AP199</f>
        <v>0</v>
      </c>
      <c r="J199" s="17">
        <f>F199*G199</f>
        <v>0</v>
      </c>
      <c r="K199" s="17">
        <v>0</v>
      </c>
      <c r="L199" s="17">
        <f>F199*K199</f>
        <v>0</v>
      </c>
      <c r="M199" s="29"/>
      <c r="Z199" s="34">
        <f>IF(AQ199="5",BJ199,0)</f>
        <v>0</v>
      </c>
      <c r="AB199" s="34">
        <f>IF(AQ199="1",BH199,0)</f>
        <v>0</v>
      </c>
      <c r="AC199" s="34">
        <f>IF(AQ199="1",BI199,0)</f>
        <v>0</v>
      </c>
      <c r="AD199" s="34">
        <f>IF(AQ199="7",BH199,0)</f>
        <v>0</v>
      </c>
      <c r="AE199" s="34">
        <f>IF(AQ199="7",BI199,0)</f>
        <v>0</v>
      </c>
      <c r="AF199" s="34">
        <f>IF(AQ199="2",BH199,0)</f>
        <v>0</v>
      </c>
      <c r="AG199" s="34">
        <f>IF(AQ199="2",BI199,0)</f>
        <v>0</v>
      </c>
      <c r="AH199" s="34">
        <f>IF(AQ199="0",BJ199,0)</f>
        <v>0</v>
      </c>
      <c r="AI199" s="26"/>
      <c r="AJ199" s="17">
        <f>IF(AN199=0,J199,0)</f>
        <v>0</v>
      </c>
      <c r="AK199" s="17">
        <f>IF(AN199=15,J199,0)</f>
        <v>0</v>
      </c>
      <c r="AL199" s="17">
        <f>IF(AN199=21,J199,0)</f>
        <v>0</v>
      </c>
      <c r="AN199" s="34">
        <v>21</v>
      </c>
      <c r="AO199" s="34">
        <f>G199*0</f>
        <v>0</v>
      </c>
      <c r="AP199" s="34">
        <f>G199*(1-0)</f>
        <v>0</v>
      </c>
      <c r="AQ199" s="29" t="s">
        <v>11</v>
      </c>
      <c r="AV199" s="34">
        <f>AW199+AX199</f>
        <v>0</v>
      </c>
      <c r="AW199" s="34">
        <f>F199*AO199</f>
        <v>0</v>
      </c>
      <c r="AX199" s="34">
        <f>F199*AP199</f>
        <v>0</v>
      </c>
      <c r="AY199" s="35" t="s">
        <v>515</v>
      </c>
      <c r="AZ199" s="35" t="s">
        <v>529</v>
      </c>
      <c r="BA199" s="26" t="s">
        <v>531</v>
      </c>
      <c r="BC199" s="34">
        <f>AW199+AX199</f>
        <v>0</v>
      </c>
      <c r="BD199" s="34">
        <f>G199/(100-BE199)*100</f>
        <v>0</v>
      </c>
      <c r="BE199" s="34">
        <v>0</v>
      </c>
      <c r="BF199" s="34">
        <f>L199</f>
        <v>0</v>
      </c>
      <c r="BH199" s="17">
        <f>F199*AO199</f>
        <v>0</v>
      </c>
      <c r="BI199" s="17">
        <f>F199*AP199</f>
        <v>0</v>
      </c>
      <c r="BJ199" s="17">
        <f>F199*G199</f>
        <v>0</v>
      </c>
    </row>
    <row r="200" spans="1:62" ht="12.75">
      <c r="A200" s="4" t="s">
        <v>115</v>
      </c>
      <c r="B200" s="4"/>
      <c r="C200" s="4" t="s">
        <v>241</v>
      </c>
      <c r="D200" s="4" t="s">
        <v>425</v>
      </c>
      <c r="E200" s="4" t="s">
        <v>447</v>
      </c>
      <c r="F200" s="17">
        <v>1.86</v>
      </c>
      <c r="G200" s="17"/>
      <c r="H200" s="17">
        <f>F200*AO200</f>
        <v>0</v>
      </c>
      <c r="I200" s="17">
        <f>F200*AP200</f>
        <v>0</v>
      </c>
      <c r="J200" s="17">
        <f>F200*G200</f>
        <v>0</v>
      </c>
      <c r="K200" s="17">
        <v>0</v>
      </c>
      <c r="L200" s="17">
        <f>F200*K200</f>
        <v>0</v>
      </c>
      <c r="M200" s="29"/>
      <c r="Z200" s="34">
        <f>IF(AQ200="5",BJ200,0)</f>
        <v>0</v>
      </c>
      <c r="AB200" s="34">
        <f>IF(AQ200="1",BH200,0)</f>
        <v>0</v>
      </c>
      <c r="AC200" s="34">
        <f>IF(AQ200="1",BI200,0)</f>
        <v>0</v>
      </c>
      <c r="AD200" s="34">
        <f>IF(AQ200="7",BH200,0)</f>
        <v>0</v>
      </c>
      <c r="AE200" s="34">
        <f>IF(AQ200="7",BI200,0)</f>
        <v>0</v>
      </c>
      <c r="AF200" s="34">
        <f>IF(AQ200="2",BH200,0)</f>
        <v>0</v>
      </c>
      <c r="AG200" s="34">
        <f>IF(AQ200="2",BI200,0)</f>
        <v>0</v>
      </c>
      <c r="AH200" s="34">
        <f>IF(AQ200="0",BJ200,0)</f>
        <v>0</v>
      </c>
      <c r="AI200" s="26"/>
      <c r="AJ200" s="17">
        <f>IF(AN200=0,J200,0)</f>
        <v>0</v>
      </c>
      <c r="AK200" s="17">
        <f>IF(AN200=15,J200,0)</f>
        <v>0</v>
      </c>
      <c r="AL200" s="17">
        <f>IF(AN200=21,J200,0)</f>
        <v>0</v>
      </c>
      <c r="AN200" s="34">
        <v>21</v>
      </c>
      <c r="AO200" s="34">
        <f>G200*0</f>
        <v>0</v>
      </c>
      <c r="AP200" s="34">
        <f>G200*(1-0)</f>
        <v>0</v>
      </c>
      <c r="AQ200" s="29" t="s">
        <v>11</v>
      </c>
      <c r="AV200" s="34">
        <f>AW200+AX200</f>
        <v>0</v>
      </c>
      <c r="AW200" s="34">
        <f>F200*AO200</f>
        <v>0</v>
      </c>
      <c r="AX200" s="34">
        <f>F200*AP200</f>
        <v>0</v>
      </c>
      <c r="AY200" s="35" t="s">
        <v>515</v>
      </c>
      <c r="AZ200" s="35" t="s">
        <v>529</v>
      </c>
      <c r="BA200" s="26" t="s">
        <v>531</v>
      </c>
      <c r="BC200" s="34">
        <f>AW200+AX200</f>
        <v>0</v>
      </c>
      <c r="BD200" s="34">
        <f>G200/(100-BE200)*100</f>
        <v>0</v>
      </c>
      <c r="BE200" s="34">
        <v>0</v>
      </c>
      <c r="BF200" s="34">
        <f>L200</f>
        <v>0</v>
      </c>
      <c r="BH200" s="17">
        <f>F200*AO200</f>
        <v>0</v>
      </c>
      <c r="BI200" s="17">
        <f>F200*AP200</f>
        <v>0</v>
      </c>
      <c r="BJ200" s="17">
        <f>F200*G200</f>
        <v>0</v>
      </c>
    </row>
    <row r="201" spans="1:62" ht="12.75">
      <c r="A201" s="4" t="s">
        <v>116</v>
      </c>
      <c r="B201" s="4"/>
      <c r="C201" s="4" t="s">
        <v>242</v>
      </c>
      <c r="D201" s="4" t="s">
        <v>426</v>
      </c>
      <c r="E201" s="4" t="s">
        <v>447</v>
      </c>
      <c r="F201" s="17">
        <v>156</v>
      </c>
      <c r="G201" s="17"/>
      <c r="H201" s="17">
        <f>F201*AO201</f>
        <v>0</v>
      </c>
      <c r="I201" s="17">
        <f>F201*AP201</f>
        <v>0</v>
      </c>
      <c r="J201" s="17">
        <f>F201*G201</f>
        <v>0</v>
      </c>
      <c r="K201" s="17">
        <v>0</v>
      </c>
      <c r="L201" s="17">
        <f>F201*K201</f>
        <v>0</v>
      </c>
      <c r="M201" s="29"/>
      <c r="Z201" s="34">
        <f>IF(AQ201="5",BJ201,0)</f>
        <v>0</v>
      </c>
      <c r="AB201" s="34">
        <f>IF(AQ201="1",BH201,0)</f>
        <v>0</v>
      </c>
      <c r="AC201" s="34">
        <f>IF(AQ201="1",BI201,0)</f>
        <v>0</v>
      </c>
      <c r="AD201" s="34">
        <f>IF(AQ201="7",BH201,0)</f>
        <v>0</v>
      </c>
      <c r="AE201" s="34">
        <f>IF(AQ201="7",BI201,0)</f>
        <v>0</v>
      </c>
      <c r="AF201" s="34">
        <f>IF(AQ201="2",BH201,0)</f>
        <v>0</v>
      </c>
      <c r="AG201" s="34">
        <f>IF(AQ201="2",BI201,0)</f>
        <v>0</v>
      </c>
      <c r="AH201" s="34">
        <f>IF(AQ201="0",BJ201,0)</f>
        <v>0</v>
      </c>
      <c r="AI201" s="26"/>
      <c r="AJ201" s="17">
        <f>IF(AN201=0,J201,0)</f>
        <v>0</v>
      </c>
      <c r="AK201" s="17">
        <f>IF(AN201=15,J201,0)</f>
        <v>0</v>
      </c>
      <c r="AL201" s="17">
        <f>IF(AN201=21,J201,0)</f>
        <v>0</v>
      </c>
      <c r="AN201" s="34">
        <v>21</v>
      </c>
      <c r="AO201" s="34">
        <f>G201*0</f>
        <v>0</v>
      </c>
      <c r="AP201" s="34">
        <f>G201*(1-0)</f>
        <v>0</v>
      </c>
      <c r="AQ201" s="29" t="s">
        <v>11</v>
      </c>
      <c r="AV201" s="34">
        <f>AW201+AX201</f>
        <v>0</v>
      </c>
      <c r="AW201" s="34">
        <f>F201*AO201</f>
        <v>0</v>
      </c>
      <c r="AX201" s="34">
        <f>F201*AP201</f>
        <v>0</v>
      </c>
      <c r="AY201" s="35" t="s">
        <v>515</v>
      </c>
      <c r="AZ201" s="35" t="s">
        <v>529</v>
      </c>
      <c r="BA201" s="26" t="s">
        <v>531</v>
      </c>
      <c r="BC201" s="34">
        <f>AW201+AX201</f>
        <v>0</v>
      </c>
      <c r="BD201" s="34">
        <f>G201/(100-BE201)*100</f>
        <v>0</v>
      </c>
      <c r="BE201" s="34">
        <v>0</v>
      </c>
      <c r="BF201" s="34">
        <f>L201</f>
        <v>0</v>
      </c>
      <c r="BH201" s="17">
        <f>F201*AO201</f>
        <v>0</v>
      </c>
      <c r="BI201" s="17">
        <f>F201*AP201</f>
        <v>0</v>
      </c>
      <c r="BJ201" s="17">
        <f>F201*G201</f>
        <v>0</v>
      </c>
    </row>
    <row r="202" spans="1:47" ht="12.75">
      <c r="A202" s="5"/>
      <c r="B202" s="13"/>
      <c r="C202" s="13"/>
      <c r="D202" s="13" t="s">
        <v>427</v>
      </c>
      <c r="E202" s="5" t="s">
        <v>6</v>
      </c>
      <c r="F202" s="5" t="s">
        <v>6</v>
      </c>
      <c r="G202" s="5" t="s">
        <v>6</v>
      </c>
      <c r="H202" s="37">
        <f>SUM(H203:H208)</f>
        <v>0</v>
      </c>
      <c r="I202" s="37">
        <f>SUM(I203:I208)</f>
        <v>0</v>
      </c>
      <c r="J202" s="37">
        <f>SUM(J203:J208)</f>
        <v>0</v>
      </c>
      <c r="K202" s="26"/>
      <c r="L202" s="37">
        <f>SUM(L203:L208)</f>
        <v>0.21380000000000002</v>
      </c>
      <c r="M202" s="26"/>
      <c r="AI202" s="26"/>
      <c r="AS202" s="37">
        <f>SUM(AJ203:AJ208)</f>
        <v>0</v>
      </c>
      <c r="AT202" s="37">
        <f>SUM(AK203:AK208)</f>
        <v>0</v>
      </c>
      <c r="AU202" s="37">
        <f>SUM(AL203:AL208)</f>
        <v>0</v>
      </c>
    </row>
    <row r="203" spans="1:62" ht="12.75">
      <c r="A203" s="6" t="s">
        <v>117</v>
      </c>
      <c r="B203" s="6"/>
      <c r="C203" s="6" t="s">
        <v>243</v>
      </c>
      <c r="D203" s="6" t="s">
        <v>428</v>
      </c>
      <c r="E203" s="6" t="s">
        <v>448</v>
      </c>
      <c r="F203" s="18">
        <v>6</v>
      </c>
      <c r="G203" s="18"/>
      <c r="H203" s="18">
        <f aca="true" t="shared" si="50" ref="H203:H208">F203*AO203</f>
        <v>0</v>
      </c>
      <c r="I203" s="18">
        <f aca="true" t="shared" si="51" ref="I203:I208">F203*AP203</f>
        <v>0</v>
      </c>
      <c r="J203" s="18">
        <f aca="true" t="shared" si="52" ref="J203:J208">F203*G203</f>
        <v>0</v>
      </c>
      <c r="K203" s="18">
        <v>0.0113</v>
      </c>
      <c r="L203" s="18">
        <f aca="true" t="shared" si="53" ref="L203:L208">F203*K203</f>
        <v>0.0678</v>
      </c>
      <c r="M203" s="30"/>
      <c r="Z203" s="34">
        <f aca="true" t="shared" si="54" ref="Z203:Z208">IF(AQ203="5",BJ203,0)</f>
        <v>0</v>
      </c>
      <c r="AB203" s="34">
        <f aca="true" t="shared" si="55" ref="AB203:AB208">IF(AQ203="1",BH203,0)</f>
        <v>0</v>
      </c>
      <c r="AC203" s="34">
        <f aca="true" t="shared" si="56" ref="AC203:AC208">IF(AQ203="1",BI203,0)</f>
        <v>0</v>
      </c>
      <c r="AD203" s="34">
        <f aca="true" t="shared" si="57" ref="AD203:AD208">IF(AQ203="7",BH203,0)</f>
        <v>0</v>
      </c>
      <c r="AE203" s="34">
        <f aca="true" t="shared" si="58" ref="AE203:AE208">IF(AQ203="7",BI203,0)</f>
        <v>0</v>
      </c>
      <c r="AF203" s="34">
        <f aca="true" t="shared" si="59" ref="AF203:AF208">IF(AQ203="2",BH203,0)</f>
        <v>0</v>
      </c>
      <c r="AG203" s="34">
        <f aca="true" t="shared" si="60" ref="AG203:AG208">IF(AQ203="2",BI203,0)</f>
        <v>0</v>
      </c>
      <c r="AH203" s="34">
        <f aca="true" t="shared" si="61" ref="AH203:AH208">IF(AQ203="0",BJ203,0)</f>
        <v>0</v>
      </c>
      <c r="AI203" s="26"/>
      <c r="AJ203" s="18">
        <f aca="true" t="shared" si="62" ref="AJ203:AJ208">IF(AN203=0,J203,0)</f>
        <v>0</v>
      </c>
      <c r="AK203" s="18">
        <f aca="true" t="shared" si="63" ref="AK203:AK208">IF(AN203=15,J203,0)</f>
        <v>0</v>
      </c>
      <c r="AL203" s="18">
        <f aca="true" t="shared" si="64" ref="AL203:AL208">IF(AN203=21,J203,0)</f>
        <v>0</v>
      </c>
      <c r="AN203" s="34">
        <v>21</v>
      </c>
      <c r="AO203" s="34">
        <f aca="true" t="shared" si="65" ref="AO203:AO208">G203*1</f>
        <v>0</v>
      </c>
      <c r="AP203" s="34">
        <f aca="true" t="shared" si="66" ref="AP203:AP208">G203*(1-1)</f>
        <v>0</v>
      </c>
      <c r="AQ203" s="30" t="s">
        <v>477</v>
      </c>
      <c r="AV203" s="34">
        <f aca="true" t="shared" si="67" ref="AV203:AV208">AW203+AX203</f>
        <v>0</v>
      </c>
      <c r="AW203" s="34">
        <f aca="true" t="shared" si="68" ref="AW203:AW208">F203*AO203</f>
        <v>0</v>
      </c>
      <c r="AX203" s="34">
        <f aca="true" t="shared" si="69" ref="AX203:AX208">F203*AP203</f>
        <v>0</v>
      </c>
      <c r="AY203" s="35" t="s">
        <v>516</v>
      </c>
      <c r="AZ203" s="35" t="s">
        <v>530</v>
      </c>
      <c r="BA203" s="26" t="s">
        <v>531</v>
      </c>
      <c r="BC203" s="34">
        <f aca="true" t="shared" si="70" ref="BC203:BC208">AW203+AX203</f>
        <v>0</v>
      </c>
      <c r="BD203" s="34">
        <f aca="true" t="shared" si="71" ref="BD203:BD208">G203/(100-BE203)*100</f>
        <v>0</v>
      </c>
      <c r="BE203" s="34">
        <v>0</v>
      </c>
      <c r="BF203" s="34">
        <f aca="true" t="shared" si="72" ref="BF203:BF208">L203</f>
        <v>0.0678</v>
      </c>
      <c r="BH203" s="18">
        <f aca="true" t="shared" si="73" ref="BH203:BH208">F203*AO203</f>
        <v>0</v>
      </c>
      <c r="BI203" s="18">
        <f aca="true" t="shared" si="74" ref="BI203:BI208">F203*AP203</f>
        <v>0</v>
      </c>
      <c r="BJ203" s="18">
        <f aca="true" t="shared" si="75" ref="BJ203:BJ208">F203*G203</f>
        <v>0</v>
      </c>
    </row>
    <row r="204" spans="1:62" ht="12.75">
      <c r="A204" s="6" t="s">
        <v>118</v>
      </c>
      <c r="B204" s="6"/>
      <c r="C204" s="6" t="s">
        <v>244</v>
      </c>
      <c r="D204" s="6" t="s">
        <v>429</v>
      </c>
      <c r="E204" s="6" t="s">
        <v>448</v>
      </c>
      <c r="F204" s="18">
        <v>3</v>
      </c>
      <c r="G204" s="18"/>
      <c r="H204" s="18">
        <f t="shared" si="50"/>
        <v>0</v>
      </c>
      <c r="I204" s="18">
        <f t="shared" si="51"/>
        <v>0</v>
      </c>
      <c r="J204" s="18">
        <f t="shared" si="52"/>
        <v>0</v>
      </c>
      <c r="K204" s="18">
        <v>0.015</v>
      </c>
      <c r="L204" s="18">
        <f t="shared" si="53"/>
        <v>0.045</v>
      </c>
      <c r="M204" s="30"/>
      <c r="Z204" s="34">
        <f t="shared" si="54"/>
        <v>0</v>
      </c>
      <c r="AB204" s="34">
        <f t="shared" si="55"/>
        <v>0</v>
      </c>
      <c r="AC204" s="34">
        <f t="shared" si="56"/>
        <v>0</v>
      </c>
      <c r="AD204" s="34">
        <f t="shared" si="57"/>
        <v>0</v>
      </c>
      <c r="AE204" s="34">
        <f t="shared" si="58"/>
        <v>0</v>
      </c>
      <c r="AF204" s="34">
        <f t="shared" si="59"/>
        <v>0</v>
      </c>
      <c r="AG204" s="34">
        <f t="shared" si="60"/>
        <v>0</v>
      </c>
      <c r="AH204" s="34">
        <f t="shared" si="61"/>
        <v>0</v>
      </c>
      <c r="AI204" s="26"/>
      <c r="AJ204" s="18">
        <f t="shared" si="62"/>
        <v>0</v>
      </c>
      <c r="AK204" s="18">
        <f t="shared" si="63"/>
        <v>0</v>
      </c>
      <c r="AL204" s="18">
        <f t="shared" si="64"/>
        <v>0</v>
      </c>
      <c r="AN204" s="34">
        <v>21</v>
      </c>
      <c r="AO204" s="34">
        <f t="shared" si="65"/>
        <v>0</v>
      </c>
      <c r="AP204" s="34">
        <f t="shared" si="66"/>
        <v>0</v>
      </c>
      <c r="AQ204" s="30" t="s">
        <v>477</v>
      </c>
      <c r="AV204" s="34">
        <f t="shared" si="67"/>
        <v>0</v>
      </c>
      <c r="AW204" s="34">
        <f t="shared" si="68"/>
        <v>0</v>
      </c>
      <c r="AX204" s="34">
        <f t="shared" si="69"/>
        <v>0</v>
      </c>
      <c r="AY204" s="35" t="s">
        <v>516</v>
      </c>
      <c r="AZ204" s="35" t="s">
        <v>530</v>
      </c>
      <c r="BA204" s="26" t="s">
        <v>531</v>
      </c>
      <c r="BC204" s="34">
        <f t="shared" si="70"/>
        <v>0</v>
      </c>
      <c r="BD204" s="34">
        <f t="shared" si="71"/>
        <v>0</v>
      </c>
      <c r="BE204" s="34">
        <v>0</v>
      </c>
      <c r="BF204" s="34">
        <f t="shared" si="72"/>
        <v>0.045</v>
      </c>
      <c r="BH204" s="18">
        <f t="shared" si="73"/>
        <v>0</v>
      </c>
      <c r="BI204" s="18">
        <f t="shared" si="74"/>
        <v>0</v>
      </c>
      <c r="BJ204" s="18">
        <f t="shared" si="75"/>
        <v>0</v>
      </c>
    </row>
    <row r="205" spans="1:62" ht="12.75">
      <c r="A205" s="6" t="s">
        <v>119</v>
      </c>
      <c r="B205" s="6"/>
      <c r="C205" s="6" t="s">
        <v>245</v>
      </c>
      <c r="D205" s="6" t="s">
        <v>430</v>
      </c>
      <c r="E205" s="6" t="s">
        <v>448</v>
      </c>
      <c r="F205" s="18">
        <v>6</v>
      </c>
      <c r="G205" s="18"/>
      <c r="H205" s="18">
        <f t="shared" si="50"/>
        <v>0</v>
      </c>
      <c r="I205" s="18">
        <f t="shared" si="51"/>
        <v>0</v>
      </c>
      <c r="J205" s="18">
        <f t="shared" si="52"/>
        <v>0</v>
      </c>
      <c r="K205" s="18">
        <v>0.0099</v>
      </c>
      <c r="L205" s="18">
        <f t="shared" si="53"/>
        <v>0.05940000000000001</v>
      </c>
      <c r="M205" s="30"/>
      <c r="Z205" s="34">
        <f t="shared" si="54"/>
        <v>0</v>
      </c>
      <c r="AB205" s="34">
        <f t="shared" si="55"/>
        <v>0</v>
      </c>
      <c r="AC205" s="34">
        <f t="shared" si="56"/>
        <v>0</v>
      </c>
      <c r="AD205" s="34">
        <f t="shared" si="57"/>
        <v>0</v>
      </c>
      <c r="AE205" s="34">
        <f t="shared" si="58"/>
        <v>0</v>
      </c>
      <c r="AF205" s="34">
        <f t="shared" si="59"/>
        <v>0</v>
      </c>
      <c r="AG205" s="34">
        <f t="shared" si="60"/>
        <v>0</v>
      </c>
      <c r="AH205" s="34">
        <f t="shared" si="61"/>
        <v>0</v>
      </c>
      <c r="AI205" s="26"/>
      <c r="AJ205" s="18">
        <f t="shared" si="62"/>
        <v>0</v>
      </c>
      <c r="AK205" s="18">
        <f t="shared" si="63"/>
        <v>0</v>
      </c>
      <c r="AL205" s="18">
        <f t="shared" si="64"/>
        <v>0</v>
      </c>
      <c r="AN205" s="34">
        <v>21</v>
      </c>
      <c r="AO205" s="34">
        <f t="shared" si="65"/>
        <v>0</v>
      </c>
      <c r="AP205" s="34">
        <f t="shared" si="66"/>
        <v>0</v>
      </c>
      <c r="AQ205" s="30" t="s">
        <v>477</v>
      </c>
      <c r="AV205" s="34">
        <f t="shared" si="67"/>
        <v>0</v>
      </c>
      <c r="AW205" s="34">
        <f t="shared" si="68"/>
        <v>0</v>
      </c>
      <c r="AX205" s="34">
        <f t="shared" si="69"/>
        <v>0</v>
      </c>
      <c r="AY205" s="35" t="s">
        <v>516</v>
      </c>
      <c r="AZ205" s="35" t="s">
        <v>530</v>
      </c>
      <c r="BA205" s="26" t="s">
        <v>531</v>
      </c>
      <c r="BC205" s="34">
        <f t="shared" si="70"/>
        <v>0</v>
      </c>
      <c r="BD205" s="34">
        <f t="shared" si="71"/>
        <v>0</v>
      </c>
      <c r="BE205" s="34">
        <v>0</v>
      </c>
      <c r="BF205" s="34">
        <f t="shared" si="72"/>
        <v>0.05940000000000001</v>
      </c>
      <c r="BH205" s="18">
        <f t="shared" si="73"/>
        <v>0</v>
      </c>
      <c r="BI205" s="18">
        <f t="shared" si="74"/>
        <v>0</v>
      </c>
      <c r="BJ205" s="18">
        <f t="shared" si="75"/>
        <v>0</v>
      </c>
    </row>
    <row r="206" spans="1:62" ht="12.75">
      <c r="A206" s="6" t="s">
        <v>120</v>
      </c>
      <c r="B206" s="6"/>
      <c r="C206" s="6" t="s">
        <v>246</v>
      </c>
      <c r="D206" s="6" t="s">
        <v>431</v>
      </c>
      <c r="E206" s="6" t="s">
        <v>448</v>
      </c>
      <c r="F206" s="18">
        <v>120</v>
      </c>
      <c r="G206" s="18"/>
      <c r="H206" s="18">
        <f t="shared" si="50"/>
        <v>0</v>
      </c>
      <c r="I206" s="18">
        <f t="shared" si="51"/>
        <v>0</v>
      </c>
      <c r="J206" s="18">
        <f t="shared" si="52"/>
        <v>0</v>
      </c>
      <c r="K206" s="18">
        <v>0</v>
      </c>
      <c r="L206" s="18">
        <f t="shared" si="53"/>
        <v>0</v>
      </c>
      <c r="M206" s="30"/>
      <c r="Z206" s="34">
        <f t="shared" si="54"/>
        <v>0</v>
      </c>
      <c r="AB206" s="34">
        <f t="shared" si="55"/>
        <v>0</v>
      </c>
      <c r="AC206" s="34">
        <f t="shared" si="56"/>
        <v>0</v>
      </c>
      <c r="AD206" s="34">
        <f t="shared" si="57"/>
        <v>0</v>
      </c>
      <c r="AE206" s="34">
        <f t="shared" si="58"/>
        <v>0</v>
      </c>
      <c r="AF206" s="34">
        <f t="shared" si="59"/>
        <v>0</v>
      </c>
      <c r="AG206" s="34">
        <f t="shared" si="60"/>
        <v>0</v>
      </c>
      <c r="AH206" s="34">
        <f t="shared" si="61"/>
        <v>0</v>
      </c>
      <c r="AI206" s="26"/>
      <c r="AJ206" s="18">
        <f t="shared" si="62"/>
        <v>0</v>
      </c>
      <c r="AK206" s="18">
        <f t="shared" si="63"/>
        <v>0</v>
      </c>
      <c r="AL206" s="18">
        <f t="shared" si="64"/>
        <v>0</v>
      </c>
      <c r="AN206" s="34">
        <v>21</v>
      </c>
      <c r="AO206" s="34">
        <f t="shared" si="65"/>
        <v>0</v>
      </c>
      <c r="AP206" s="34">
        <f t="shared" si="66"/>
        <v>0</v>
      </c>
      <c r="AQ206" s="30" t="s">
        <v>477</v>
      </c>
      <c r="AV206" s="34">
        <f t="shared" si="67"/>
        <v>0</v>
      </c>
      <c r="AW206" s="34">
        <f t="shared" si="68"/>
        <v>0</v>
      </c>
      <c r="AX206" s="34">
        <f t="shared" si="69"/>
        <v>0</v>
      </c>
      <c r="AY206" s="35" t="s">
        <v>516</v>
      </c>
      <c r="AZ206" s="35" t="s">
        <v>530</v>
      </c>
      <c r="BA206" s="26" t="s">
        <v>531</v>
      </c>
      <c r="BC206" s="34">
        <f t="shared" si="70"/>
        <v>0</v>
      </c>
      <c r="BD206" s="34">
        <f t="shared" si="71"/>
        <v>0</v>
      </c>
      <c r="BE206" s="34">
        <v>0</v>
      </c>
      <c r="BF206" s="34">
        <f t="shared" si="72"/>
        <v>0</v>
      </c>
      <c r="BH206" s="18">
        <f t="shared" si="73"/>
        <v>0</v>
      </c>
      <c r="BI206" s="18">
        <f t="shared" si="74"/>
        <v>0</v>
      </c>
      <c r="BJ206" s="18">
        <f t="shared" si="75"/>
        <v>0</v>
      </c>
    </row>
    <row r="207" spans="1:62" ht="12.75">
      <c r="A207" s="6" t="s">
        <v>121</v>
      </c>
      <c r="B207" s="6"/>
      <c r="C207" s="6" t="s">
        <v>247</v>
      </c>
      <c r="D207" s="6" t="s">
        <v>432</v>
      </c>
      <c r="E207" s="6" t="s">
        <v>442</v>
      </c>
      <c r="F207" s="18">
        <v>18</v>
      </c>
      <c r="G207" s="18"/>
      <c r="H207" s="18">
        <f t="shared" si="50"/>
        <v>0</v>
      </c>
      <c r="I207" s="18">
        <f t="shared" si="51"/>
        <v>0</v>
      </c>
      <c r="J207" s="18">
        <f t="shared" si="52"/>
        <v>0</v>
      </c>
      <c r="K207" s="18">
        <v>0.0002</v>
      </c>
      <c r="L207" s="18">
        <f t="shared" si="53"/>
        <v>0.0036000000000000003</v>
      </c>
      <c r="M207" s="30"/>
      <c r="Z207" s="34">
        <f t="shared" si="54"/>
        <v>0</v>
      </c>
      <c r="AB207" s="34">
        <f t="shared" si="55"/>
        <v>0</v>
      </c>
      <c r="AC207" s="34">
        <f t="shared" si="56"/>
        <v>0</v>
      </c>
      <c r="AD207" s="34">
        <f t="shared" si="57"/>
        <v>0</v>
      </c>
      <c r="AE207" s="34">
        <f t="shared" si="58"/>
        <v>0</v>
      </c>
      <c r="AF207" s="34">
        <f t="shared" si="59"/>
        <v>0</v>
      </c>
      <c r="AG207" s="34">
        <f t="shared" si="60"/>
        <v>0</v>
      </c>
      <c r="AH207" s="34">
        <f t="shared" si="61"/>
        <v>0</v>
      </c>
      <c r="AI207" s="26"/>
      <c r="AJ207" s="18">
        <f t="shared" si="62"/>
        <v>0</v>
      </c>
      <c r="AK207" s="18">
        <f t="shared" si="63"/>
        <v>0</v>
      </c>
      <c r="AL207" s="18">
        <f t="shared" si="64"/>
        <v>0</v>
      </c>
      <c r="AN207" s="34">
        <v>21</v>
      </c>
      <c r="AO207" s="34">
        <f t="shared" si="65"/>
        <v>0</v>
      </c>
      <c r="AP207" s="34">
        <f t="shared" si="66"/>
        <v>0</v>
      </c>
      <c r="AQ207" s="30" t="s">
        <v>477</v>
      </c>
      <c r="AV207" s="34">
        <f t="shared" si="67"/>
        <v>0</v>
      </c>
      <c r="AW207" s="34">
        <f t="shared" si="68"/>
        <v>0</v>
      </c>
      <c r="AX207" s="34">
        <f t="shared" si="69"/>
        <v>0</v>
      </c>
      <c r="AY207" s="35" t="s">
        <v>516</v>
      </c>
      <c r="AZ207" s="35" t="s">
        <v>530</v>
      </c>
      <c r="BA207" s="26" t="s">
        <v>531</v>
      </c>
      <c r="BC207" s="34">
        <f t="shared" si="70"/>
        <v>0</v>
      </c>
      <c r="BD207" s="34">
        <f t="shared" si="71"/>
        <v>0</v>
      </c>
      <c r="BE207" s="34">
        <v>0</v>
      </c>
      <c r="BF207" s="34">
        <f t="shared" si="72"/>
        <v>0.0036000000000000003</v>
      </c>
      <c r="BH207" s="18">
        <f t="shared" si="73"/>
        <v>0</v>
      </c>
      <c r="BI207" s="18">
        <f t="shared" si="74"/>
        <v>0</v>
      </c>
      <c r="BJ207" s="18">
        <f t="shared" si="75"/>
        <v>0</v>
      </c>
    </row>
    <row r="208" spans="1:62" ht="12.75">
      <c r="A208" s="7" t="s">
        <v>122</v>
      </c>
      <c r="B208" s="7"/>
      <c r="C208" s="7" t="s">
        <v>248</v>
      </c>
      <c r="D208" s="7" t="s">
        <v>433</v>
      </c>
      <c r="E208" s="7" t="s">
        <v>448</v>
      </c>
      <c r="F208" s="19">
        <v>2</v>
      </c>
      <c r="G208" s="19"/>
      <c r="H208" s="19">
        <f t="shared" si="50"/>
        <v>0</v>
      </c>
      <c r="I208" s="19">
        <f t="shared" si="51"/>
        <v>0</v>
      </c>
      <c r="J208" s="19">
        <f t="shared" si="52"/>
        <v>0</v>
      </c>
      <c r="K208" s="19">
        <v>0.019</v>
      </c>
      <c r="L208" s="19">
        <f t="shared" si="53"/>
        <v>0.038</v>
      </c>
      <c r="M208" s="31"/>
      <c r="Z208" s="34">
        <f t="shared" si="54"/>
        <v>0</v>
      </c>
      <c r="AB208" s="34">
        <f t="shared" si="55"/>
        <v>0</v>
      </c>
      <c r="AC208" s="34">
        <f t="shared" si="56"/>
        <v>0</v>
      </c>
      <c r="AD208" s="34">
        <f t="shared" si="57"/>
        <v>0</v>
      </c>
      <c r="AE208" s="34">
        <f t="shared" si="58"/>
        <v>0</v>
      </c>
      <c r="AF208" s="34">
        <f t="shared" si="59"/>
        <v>0</v>
      </c>
      <c r="AG208" s="34">
        <f t="shared" si="60"/>
        <v>0</v>
      </c>
      <c r="AH208" s="34">
        <f t="shared" si="61"/>
        <v>0</v>
      </c>
      <c r="AI208" s="26"/>
      <c r="AJ208" s="18">
        <f t="shared" si="62"/>
        <v>0</v>
      </c>
      <c r="AK208" s="18">
        <f t="shared" si="63"/>
        <v>0</v>
      </c>
      <c r="AL208" s="18">
        <f t="shared" si="64"/>
        <v>0</v>
      </c>
      <c r="AN208" s="34">
        <v>21</v>
      </c>
      <c r="AO208" s="34">
        <f t="shared" si="65"/>
        <v>0</v>
      </c>
      <c r="AP208" s="34">
        <f t="shared" si="66"/>
        <v>0</v>
      </c>
      <c r="AQ208" s="30" t="s">
        <v>477</v>
      </c>
      <c r="AV208" s="34">
        <f t="shared" si="67"/>
        <v>0</v>
      </c>
      <c r="AW208" s="34">
        <f t="shared" si="68"/>
        <v>0</v>
      </c>
      <c r="AX208" s="34">
        <f t="shared" si="69"/>
        <v>0</v>
      </c>
      <c r="AY208" s="35" t="s">
        <v>516</v>
      </c>
      <c r="AZ208" s="35" t="s">
        <v>530</v>
      </c>
      <c r="BA208" s="26" t="s">
        <v>531</v>
      </c>
      <c r="BC208" s="34">
        <f t="shared" si="70"/>
        <v>0</v>
      </c>
      <c r="BD208" s="34">
        <f t="shared" si="71"/>
        <v>0</v>
      </c>
      <c r="BE208" s="34">
        <v>0</v>
      </c>
      <c r="BF208" s="34">
        <f t="shared" si="72"/>
        <v>0.038</v>
      </c>
      <c r="BH208" s="18">
        <f t="shared" si="73"/>
        <v>0</v>
      </c>
      <c r="BI208" s="18">
        <f t="shared" si="74"/>
        <v>0</v>
      </c>
      <c r="BJ208" s="18">
        <f t="shared" si="75"/>
        <v>0</v>
      </c>
    </row>
    <row r="209" spans="1:13" ht="12.75">
      <c r="A209" s="8"/>
      <c r="B209" s="8"/>
      <c r="C209" s="8"/>
      <c r="D209" s="8"/>
      <c r="E209" s="8"/>
      <c r="F209" s="8"/>
      <c r="G209" s="8"/>
      <c r="H209" s="80" t="s">
        <v>460</v>
      </c>
      <c r="I209" s="81"/>
      <c r="J209" s="38">
        <f>J12+J25+J27+J37+J40+J47+J53+J58+J62+J65+J73+J75+J77+J79+J82+J84+J86+J96+J100+J105+J108+J115+J117+J119+J125+J129+J131+J157+J160+J164+J166+J173+J177+J179+J181+J184+J187+J196+J202</f>
        <v>0</v>
      </c>
      <c r="K209" s="8"/>
      <c r="L209" s="8"/>
      <c r="M209" s="8"/>
    </row>
    <row r="210" ht="11.25" customHeight="1">
      <c r="A210" s="9" t="s">
        <v>123</v>
      </c>
    </row>
    <row r="211" spans="1:13" ht="12.75">
      <c r="A211" s="74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</row>
  </sheetData>
  <sheetProtection/>
  <mergeCells count="29">
    <mergeCell ref="H10:J10"/>
    <mergeCell ref="K10:L10"/>
    <mergeCell ref="H209:I209"/>
    <mergeCell ref="A211:M211"/>
    <mergeCell ref="A8:C9"/>
    <mergeCell ref="D8:D9"/>
    <mergeCell ref="E8:F9"/>
    <mergeCell ref="G8:G9"/>
    <mergeCell ref="H8:H9"/>
    <mergeCell ref="I8:M9"/>
    <mergeCell ref="A6:C7"/>
    <mergeCell ref="D6:D7"/>
    <mergeCell ref="E6:F7"/>
    <mergeCell ref="G6:G7"/>
    <mergeCell ref="H6:H7"/>
    <mergeCell ref="I6:M7"/>
    <mergeCell ref="A4:C5"/>
    <mergeCell ref="D4:D5"/>
    <mergeCell ref="E4:F5"/>
    <mergeCell ref="G4:G5"/>
    <mergeCell ref="H4:H5"/>
    <mergeCell ref="I4:M5"/>
    <mergeCell ref="A1:M1"/>
    <mergeCell ref="A2:C3"/>
    <mergeCell ref="D2:D3"/>
    <mergeCell ref="E2:F3"/>
    <mergeCell ref="G2:G3"/>
    <mergeCell ref="H2:H3"/>
    <mergeCell ref="I2:M3"/>
  </mergeCells>
  <printOptions/>
  <pageMargins left="0.394" right="0.394" top="0.591" bottom="0.591" header="0.5" footer="0.5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67"/>
  <sheetViews>
    <sheetView zoomScalePageLayoutView="0" workbookViewId="0" topLeftCell="A1">
      <pane ySplit="10" topLeftCell="A23" activePane="bottomLeft" state="frozen"/>
      <selection pane="topLeft" activeCell="A1" sqref="A1"/>
      <selection pane="bottomLeft" activeCell="AQ35" sqref="AQ35:AX35"/>
    </sheetView>
  </sheetViews>
  <sheetFormatPr defaultColWidth="11.57421875" defaultRowHeight="12.75"/>
  <cols>
    <col min="1" max="74" width="2.8515625" style="0" customWidth="1"/>
    <col min="75" max="250" width="11.57421875" style="0" customWidth="1"/>
    <col min="251" max="254" width="12.140625" style="0" hidden="1" customWidth="1"/>
  </cols>
  <sheetData>
    <row r="1" spans="1:74" ht="72.75" customHeight="1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</row>
    <row r="2" spans="1:75" ht="12.75">
      <c r="A2" s="63" t="s">
        <v>1</v>
      </c>
      <c r="B2" s="64"/>
      <c r="C2" s="64"/>
      <c r="D2" s="64"/>
      <c r="E2" s="64"/>
      <c r="F2" s="67" t="str">
        <f>'Stavební rozpočet'!D2</f>
        <v>Rekonstrukce rozvodů horkovodů, PST, vodovodu</v>
      </c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69" t="s">
        <v>434</v>
      </c>
      <c r="AK2" s="64"/>
      <c r="AL2" s="64"/>
      <c r="AM2" s="64"/>
      <c r="AN2" s="64"/>
      <c r="AO2" s="64"/>
      <c r="AP2" s="64"/>
      <c r="AQ2" s="70" t="str">
        <f>'Stavební rozpočet'!G2</f>
        <v> </v>
      </c>
      <c r="AR2" s="64"/>
      <c r="AS2" s="64"/>
      <c r="AT2" s="64"/>
      <c r="AU2" s="64"/>
      <c r="AV2" s="64"/>
      <c r="AW2" s="70" t="s">
        <v>454</v>
      </c>
      <c r="AX2" s="64"/>
      <c r="AY2" s="64"/>
      <c r="AZ2" s="64"/>
      <c r="BA2" s="64"/>
      <c r="BB2" s="64"/>
      <c r="BC2" s="64"/>
      <c r="BD2" s="70" t="str">
        <f>'Stavební rozpočet'!I2</f>
        <v>Západočeská univerzita</v>
      </c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71"/>
      <c r="BW2" s="32"/>
    </row>
    <row r="3" spans="1:75" ht="12.75">
      <c r="A3" s="65"/>
      <c r="B3" s="66"/>
      <c r="C3" s="66"/>
      <c r="D3" s="66"/>
      <c r="E3" s="66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72"/>
      <c r="BW3" s="32"/>
    </row>
    <row r="4" spans="1:75" ht="12.75">
      <c r="A4" s="73" t="s">
        <v>2</v>
      </c>
      <c r="B4" s="66"/>
      <c r="C4" s="66"/>
      <c r="D4" s="66"/>
      <c r="E4" s="66"/>
      <c r="F4" s="74" t="str">
        <f>'Stavební rozpočet'!D4</f>
        <v>Rekonstrukce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75" t="s">
        <v>435</v>
      </c>
      <c r="AK4" s="66"/>
      <c r="AL4" s="66"/>
      <c r="AM4" s="66"/>
      <c r="AN4" s="66"/>
      <c r="AO4" s="66"/>
      <c r="AP4" s="66"/>
      <c r="AQ4" s="74" t="str">
        <f>'Stavební rozpočet'!G4</f>
        <v> </v>
      </c>
      <c r="AR4" s="66"/>
      <c r="AS4" s="66"/>
      <c r="AT4" s="66"/>
      <c r="AU4" s="66"/>
      <c r="AV4" s="66"/>
      <c r="AW4" s="74" t="s">
        <v>455</v>
      </c>
      <c r="AX4" s="66"/>
      <c r="AY4" s="66"/>
      <c r="AZ4" s="66"/>
      <c r="BA4" s="66"/>
      <c r="BB4" s="66"/>
      <c r="BC4" s="66"/>
      <c r="BD4" s="74" t="str">
        <f>'Stavební rozpočet'!I4</f>
        <v>Ing. Jan Jelínek</v>
      </c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72"/>
      <c r="BW4" s="32"/>
    </row>
    <row r="5" spans="1:75" ht="12.75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72"/>
      <c r="BW5" s="32"/>
    </row>
    <row r="6" spans="1:75" ht="12.75">
      <c r="A6" s="73" t="s">
        <v>3</v>
      </c>
      <c r="B6" s="66"/>
      <c r="C6" s="66"/>
      <c r="D6" s="66"/>
      <c r="E6" s="66"/>
      <c r="F6" s="74" t="str">
        <f>'Stavební rozpočet'!D6</f>
        <v>Plzeň</v>
      </c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75" t="s">
        <v>436</v>
      </c>
      <c r="AK6" s="66"/>
      <c r="AL6" s="66"/>
      <c r="AM6" s="66"/>
      <c r="AN6" s="66"/>
      <c r="AO6" s="66"/>
      <c r="AP6" s="66"/>
      <c r="AQ6" s="74" t="str">
        <f>'Stavební rozpočet'!G6</f>
        <v> </v>
      </c>
      <c r="AR6" s="66"/>
      <c r="AS6" s="66"/>
      <c r="AT6" s="66"/>
      <c r="AU6" s="66"/>
      <c r="AV6" s="66"/>
      <c r="AW6" s="74" t="s">
        <v>456</v>
      </c>
      <c r="AX6" s="66"/>
      <c r="AY6" s="66"/>
      <c r="AZ6" s="66"/>
      <c r="BA6" s="66"/>
      <c r="BB6" s="66"/>
      <c r="BC6" s="66"/>
      <c r="BD6" s="74">
        <f>'Stavební rozpočet'!I6</f>
        <v>0</v>
      </c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72"/>
      <c r="BW6" s="32"/>
    </row>
    <row r="7" spans="1:75" ht="12.75">
      <c r="A7" s="65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72"/>
      <c r="BW7" s="32"/>
    </row>
    <row r="8" spans="1:75" ht="12.75">
      <c r="A8" s="73" t="s">
        <v>4</v>
      </c>
      <c r="B8" s="66"/>
      <c r="C8" s="66"/>
      <c r="D8" s="66"/>
      <c r="E8" s="66"/>
      <c r="F8" s="74">
        <f>'Stavební rozpočet'!D8</f>
        <v>0</v>
      </c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75" t="s">
        <v>437</v>
      </c>
      <c r="AK8" s="66"/>
      <c r="AL8" s="66"/>
      <c r="AM8" s="66"/>
      <c r="AN8" s="66"/>
      <c r="AO8" s="66"/>
      <c r="AP8" s="66"/>
      <c r="AQ8" s="74" t="str">
        <f>'Stavební rozpočet'!G8</f>
        <v>04.06.2019</v>
      </c>
      <c r="AR8" s="66"/>
      <c r="AS8" s="66"/>
      <c r="AT8" s="66"/>
      <c r="AU8" s="66"/>
      <c r="AV8" s="66"/>
      <c r="AW8" s="74" t="s">
        <v>457</v>
      </c>
      <c r="AX8" s="66"/>
      <c r="AY8" s="66"/>
      <c r="AZ8" s="66"/>
      <c r="BA8" s="66"/>
      <c r="BB8" s="66"/>
      <c r="BC8" s="66"/>
      <c r="BD8" s="74" t="str">
        <f>'Stavební rozpočet'!I8</f>
        <v>Ing. Jan Jelínek</v>
      </c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72"/>
      <c r="BW8" s="32"/>
    </row>
    <row r="9" spans="1:75" ht="12.75">
      <c r="A9" s="85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7"/>
      <c r="BW9" s="32"/>
    </row>
    <row r="10" spans="1:75" ht="12.75">
      <c r="A10" s="88" t="s">
        <v>5</v>
      </c>
      <c r="B10" s="89"/>
      <c r="C10" s="88" t="s">
        <v>125</v>
      </c>
      <c r="D10" s="90"/>
      <c r="E10" s="90"/>
      <c r="F10" s="90"/>
      <c r="G10" s="90"/>
      <c r="H10" s="89"/>
      <c r="I10" s="88" t="s">
        <v>252</v>
      </c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89"/>
      <c r="AJ10" s="88" t="s">
        <v>438</v>
      </c>
      <c r="AK10" s="89"/>
      <c r="AL10" s="88" t="s">
        <v>449</v>
      </c>
      <c r="AM10" s="90"/>
      <c r="AN10" s="90"/>
      <c r="AO10" s="90"/>
      <c r="AP10" s="89"/>
      <c r="AQ10" s="88" t="s">
        <v>535</v>
      </c>
      <c r="AR10" s="90"/>
      <c r="AS10" s="90"/>
      <c r="AT10" s="90"/>
      <c r="AU10" s="90"/>
      <c r="AV10" s="90"/>
      <c r="AW10" s="90"/>
      <c r="AX10" s="89"/>
      <c r="AY10" s="88" t="s">
        <v>536</v>
      </c>
      <c r="AZ10" s="90"/>
      <c r="BA10" s="90"/>
      <c r="BB10" s="90"/>
      <c r="BC10" s="90"/>
      <c r="BD10" s="90"/>
      <c r="BE10" s="90"/>
      <c r="BF10" s="89"/>
      <c r="BG10" s="88" t="s">
        <v>537</v>
      </c>
      <c r="BH10" s="90"/>
      <c r="BI10" s="90"/>
      <c r="BJ10" s="90"/>
      <c r="BK10" s="90"/>
      <c r="BL10" s="90"/>
      <c r="BM10" s="90"/>
      <c r="BN10" s="89"/>
      <c r="BO10" s="88" t="s">
        <v>538</v>
      </c>
      <c r="BP10" s="90"/>
      <c r="BQ10" s="90"/>
      <c r="BR10" s="90"/>
      <c r="BS10" s="90"/>
      <c r="BT10" s="90"/>
      <c r="BU10" s="90"/>
      <c r="BV10" s="91"/>
      <c r="BW10" s="32"/>
    </row>
    <row r="11" spans="1:74" ht="12.75">
      <c r="A11" s="92" t="s">
        <v>6</v>
      </c>
      <c r="B11" s="93"/>
      <c r="C11" s="92" t="s">
        <v>17</v>
      </c>
      <c r="D11" s="93"/>
      <c r="E11" s="93"/>
      <c r="F11" s="93"/>
      <c r="G11" s="93"/>
      <c r="H11" s="93"/>
      <c r="I11" s="92" t="s">
        <v>254</v>
      </c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2" t="s">
        <v>6</v>
      </c>
      <c r="AK11" s="93"/>
      <c r="AL11" s="94" t="s">
        <v>6</v>
      </c>
      <c r="AM11" s="95"/>
      <c r="AN11" s="95"/>
      <c r="AO11" s="95"/>
      <c r="AP11" s="95"/>
      <c r="AQ11" s="94" t="s">
        <v>6</v>
      </c>
      <c r="AR11" s="95"/>
      <c r="AS11" s="95"/>
      <c r="AT11" s="95"/>
      <c r="AU11" s="95"/>
      <c r="AV11" s="95"/>
      <c r="AW11" s="95"/>
      <c r="AX11" s="95"/>
      <c r="AY11" s="96">
        <f>SUM(AY12:AY22)</f>
        <v>0</v>
      </c>
      <c r="AZ11" s="95"/>
      <c r="BA11" s="95"/>
      <c r="BB11" s="95"/>
      <c r="BC11" s="95"/>
      <c r="BD11" s="95"/>
      <c r="BE11" s="95"/>
      <c r="BF11" s="95"/>
      <c r="BG11" s="94" t="s">
        <v>6</v>
      </c>
      <c r="BH11" s="95"/>
      <c r="BI11" s="95"/>
      <c r="BJ11" s="95"/>
      <c r="BK11" s="95"/>
      <c r="BL11" s="95"/>
      <c r="BM11" s="95"/>
      <c r="BN11" s="95"/>
      <c r="BO11" s="96">
        <f>SUM(BO12:BO22)</f>
        <v>32.28181</v>
      </c>
      <c r="BP11" s="95"/>
      <c r="BQ11" s="95"/>
      <c r="BR11" s="95"/>
      <c r="BS11" s="95"/>
      <c r="BT11" s="95"/>
      <c r="BU11" s="95"/>
      <c r="BV11" s="95"/>
    </row>
    <row r="12" spans="1:253" ht="12.75">
      <c r="A12" s="97" t="s">
        <v>7</v>
      </c>
      <c r="B12" s="98"/>
      <c r="C12" s="97" t="s">
        <v>126</v>
      </c>
      <c r="D12" s="98"/>
      <c r="E12" s="98"/>
      <c r="F12" s="98"/>
      <c r="G12" s="98"/>
      <c r="H12" s="98"/>
      <c r="I12" s="97" t="s">
        <v>255</v>
      </c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7" t="s">
        <v>439</v>
      </c>
      <c r="AK12" s="98"/>
      <c r="AL12" s="99">
        <f>'Stavební rozpočet'!F13</f>
        <v>1</v>
      </c>
      <c r="AM12" s="100"/>
      <c r="AN12" s="100"/>
      <c r="AO12" s="100"/>
      <c r="AP12" s="100"/>
      <c r="AQ12" s="99">
        <f>'Stavební rozpočet'!G13</f>
        <v>0</v>
      </c>
      <c r="AR12" s="100"/>
      <c r="AS12" s="100"/>
      <c r="AT12" s="100"/>
      <c r="AU12" s="100"/>
      <c r="AV12" s="100"/>
      <c r="AW12" s="100"/>
      <c r="AX12" s="100"/>
      <c r="AY12" s="99">
        <f aca="true" t="shared" si="0" ref="AY12:AY22">IR12*AL12+IS12*AL12</f>
        <v>0</v>
      </c>
      <c r="AZ12" s="100"/>
      <c r="BA12" s="100"/>
      <c r="BB12" s="100"/>
      <c r="BC12" s="100"/>
      <c r="BD12" s="100"/>
      <c r="BE12" s="100"/>
      <c r="BF12" s="100"/>
      <c r="BG12" s="99">
        <f>'Stavební rozpočet'!K13</f>
        <v>0</v>
      </c>
      <c r="BH12" s="100"/>
      <c r="BI12" s="100"/>
      <c r="BJ12" s="100"/>
      <c r="BK12" s="100"/>
      <c r="BL12" s="100"/>
      <c r="BM12" s="100"/>
      <c r="BN12" s="100"/>
      <c r="BO12" s="99">
        <f aca="true" t="shared" si="1" ref="BO12:BO22">BG12*AL12</f>
        <v>0</v>
      </c>
      <c r="BP12" s="100"/>
      <c r="BQ12" s="100"/>
      <c r="BR12" s="100"/>
      <c r="BS12" s="100"/>
      <c r="BT12" s="100"/>
      <c r="BU12" s="100"/>
      <c r="BV12" s="100"/>
      <c r="IR12" s="39">
        <f>AQ12*0</f>
        <v>0</v>
      </c>
      <c r="IS12" s="39">
        <f>AQ12*(1-0)</f>
        <v>0</v>
      </c>
    </row>
    <row r="13" spans="1:253" ht="12.75">
      <c r="A13" s="97" t="s">
        <v>8</v>
      </c>
      <c r="B13" s="98"/>
      <c r="C13" s="97" t="s">
        <v>127</v>
      </c>
      <c r="D13" s="98"/>
      <c r="E13" s="98"/>
      <c r="F13" s="98"/>
      <c r="G13" s="98"/>
      <c r="H13" s="98"/>
      <c r="I13" s="97" t="s">
        <v>256</v>
      </c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7" t="s">
        <v>440</v>
      </c>
      <c r="AK13" s="98"/>
      <c r="AL13" s="99">
        <f>'Stavební rozpočet'!F14</f>
        <v>1</v>
      </c>
      <c r="AM13" s="100"/>
      <c r="AN13" s="100"/>
      <c r="AO13" s="100"/>
      <c r="AP13" s="100"/>
      <c r="AQ13" s="99">
        <f>'Stavební rozpočet'!G14</f>
        <v>0</v>
      </c>
      <c r="AR13" s="100"/>
      <c r="AS13" s="100"/>
      <c r="AT13" s="100"/>
      <c r="AU13" s="100"/>
      <c r="AV13" s="100"/>
      <c r="AW13" s="100"/>
      <c r="AX13" s="100"/>
      <c r="AY13" s="99">
        <f t="shared" si="0"/>
        <v>0</v>
      </c>
      <c r="AZ13" s="100"/>
      <c r="BA13" s="100"/>
      <c r="BB13" s="100"/>
      <c r="BC13" s="100"/>
      <c r="BD13" s="100"/>
      <c r="BE13" s="100"/>
      <c r="BF13" s="100"/>
      <c r="BG13" s="99">
        <f>'Stavební rozpočet'!K14</f>
        <v>0</v>
      </c>
      <c r="BH13" s="100"/>
      <c r="BI13" s="100"/>
      <c r="BJ13" s="100"/>
      <c r="BK13" s="100"/>
      <c r="BL13" s="100"/>
      <c r="BM13" s="100"/>
      <c r="BN13" s="100"/>
      <c r="BO13" s="99">
        <f t="shared" si="1"/>
        <v>0</v>
      </c>
      <c r="BP13" s="100"/>
      <c r="BQ13" s="100"/>
      <c r="BR13" s="100"/>
      <c r="BS13" s="100"/>
      <c r="BT13" s="100"/>
      <c r="BU13" s="100"/>
      <c r="BV13" s="100"/>
      <c r="IR13" s="39">
        <f>AQ13*0</f>
        <v>0</v>
      </c>
      <c r="IS13" s="39">
        <f>AQ13*(1-0)</f>
        <v>0</v>
      </c>
    </row>
    <row r="14" spans="1:253" ht="12.75">
      <c r="A14" s="97" t="s">
        <v>9</v>
      </c>
      <c r="B14" s="98"/>
      <c r="C14" s="97" t="s">
        <v>128</v>
      </c>
      <c r="D14" s="98"/>
      <c r="E14" s="98"/>
      <c r="F14" s="98"/>
      <c r="G14" s="98"/>
      <c r="H14" s="98"/>
      <c r="I14" s="97" t="s">
        <v>257</v>
      </c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7" t="s">
        <v>440</v>
      </c>
      <c r="AK14" s="98"/>
      <c r="AL14" s="99">
        <f>'Stavební rozpočet'!F15</f>
        <v>1</v>
      </c>
      <c r="AM14" s="100"/>
      <c r="AN14" s="100"/>
      <c r="AO14" s="100"/>
      <c r="AP14" s="100"/>
      <c r="AQ14" s="99">
        <f>'Stavební rozpočet'!G15</f>
        <v>0</v>
      </c>
      <c r="AR14" s="100"/>
      <c r="AS14" s="100"/>
      <c r="AT14" s="100"/>
      <c r="AU14" s="100"/>
      <c r="AV14" s="100"/>
      <c r="AW14" s="100"/>
      <c r="AX14" s="100"/>
      <c r="AY14" s="99">
        <f t="shared" si="0"/>
        <v>0</v>
      </c>
      <c r="AZ14" s="100"/>
      <c r="BA14" s="100"/>
      <c r="BB14" s="100"/>
      <c r="BC14" s="100"/>
      <c r="BD14" s="100"/>
      <c r="BE14" s="100"/>
      <c r="BF14" s="100"/>
      <c r="BG14" s="99">
        <f>'Stavební rozpočet'!K15</f>
        <v>0</v>
      </c>
      <c r="BH14" s="100"/>
      <c r="BI14" s="100"/>
      <c r="BJ14" s="100"/>
      <c r="BK14" s="100"/>
      <c r="BL14" s="100"/>
      <c r="BM14" s="100"/>
      <c r="BN14" s="100"/>
      <c r="BO14" s="99">
        <f t="shared" si="1"/>
        <v>0</v>
      </c>
      <c r="BP14" s="100"/>
      <c r="BQ14" s="100"/>
      <c r="BR14" s="100"/>
      <c r="BS14" s="100"/>
      <c r="BT14" s="100"/>
      <c r="BU14" s="100"/>
      <c r="BV14" s="100"/>
      <c r="IR14" s="39">
        <f>AQ14*0</f>
        <v>0</v>
      </c>
      <c r="IS14" s="39">
        <f>AQ14*(1-0)</f>
        <v>0</v>
      </c>
    </row>
    <row r="15" spans="1:253" ht="12.75">
      <c r="A15" s="97" t="s">
        <v>10</v>
      </c>
      <c r="B15" s="98"/>
      <c r="C15" s="97" t="s">
        <v>129</v>
      </c>
      <c r="D15" s="98"/>
      <c r="E15" s="98"/>
      <c r="F15" s="98"/>
      <c r="G15" s="98"/>
      <c r="H15" s="98"/>
      <c r="I15" s="97" t="s">
        <v>259</v>
      </c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7" t="s">
        <v>441</v>
      </c>
      <c r="AK15" s="98"/>
      <c r="AL15" s="99">
        <f>'Stavební rozpočet'!F17</f>
        <v>6</v>
      </c>
      <c r="AM15" s="100"/>
      <c r="AN15" s="100"/>
      <c r="AO15" s="100"/>
      <c r="AP15" s="100"/>
      <c r="AQ15" s="99">
        <f>'Stavební rozpočet'!G17</f>
        <v>0</v>
      </c>
      <c r="AR15" s="100"/>
      <c r="AS15" s="100"/>
      <c r="AT15" s="100"/>
      <c r="AU15" s="100"/>
      <c r="AV15" s="100"/>
      <c r="AW15" s="100"/>
      <c r="AX15" s="100"/>
      <c r="AY15" s="99">
        <f t="shared" si="0"/>
        <v>0</v>
      </c>
      <c r="AZ15" s="100"/>
      <c r="BA15" s="100"/>
      <c r="BB15" s="100"/>
      <c r="BC15" s="100"/>
      <c r="BD15" s="100"/>
      <c r="BE15" s="100"/>
      <c r="BF15" s="100"/>
      <c r="BG15" s="99">
        <f>'Stavební rozpočet'!K17</f>
        <v>0</v>
      </c>
      <c r="BH15" s="100"/>
      <c r="BI15" s="100"/>
      <c r="BJ15" s="100"/>
      <c r="BK15" s="100"/>
      <c r="BL15" s="100"/>
      <c r="BM15" s="100"/>
      <c r="BN15" s="100"/>
      <c r="BO15" s="99">
        <f t="shared" si="1"/>
        <v>0</v>
      </c>
      <c r="BP15" s="100"/>
      <c r="BQ15" s="100"/>
      <c r="BR15" s="100"/>
      <c r="BS15" s="100"/>
      <c r="BT15" s="100"/>
      <c r="BU15" s="100"/>
      <c r="BV15" s="100"/>
      <c r="IR15" s="39">
        <f>AQ15*0</f>
        <v>0</v>
      </c>
      <c r="IS15" s="39">
        <f>AQ15*(1-0)</f>
        <v>0</v>
      </c>
    </row>
    <row r="16" spans="1:253" ht="12.75">
      <c r="A16" s="97" t="s">
        <v>11</v>
      </c>
      <c r="B16" s="98"/>
      <c r="C16" s="97" t="s">
        <v>130</v>
      </c>
      <c r="D16" s="98"/>
      <c r="E16" s="98"/>
      <c r="F16" s="98"/>
      <c r="G16" s="98"/>
      <c r="H16" s="98"/>
      <c r="I16" s="97" t="s">
        <v>260</v>
      </c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7" t="s">
        <v>442</v>
      </c>
      <c r="AK16" s="98"/>
      <c r="AL16" s="99">
        <f>'Stavební rozpočet'!F18</f>
        <v>26.22</v>
      </c>
      <c r="AM16" s="100"/>
      <c r="AN16" s="100"/>
      <c r="AO16" s="100"/>
      <c r="AP16" s="100"/>
      <c r="AQ16" s="99">
        <f>'Stavební rozpočet'!G18</f>
        <v>0</v>
      </c>
      <c r="AR16" s="100"/>
      <c r="AS16" s="100"/>
      <c r="AT16" s="100"/>
      <c r="AU16" s="100"/>
      <c r="AV16" s="100"/>
      <c r="AW16" s="100"/>
      <c r="AX16" s="100"/>
      <c r="AY16" s="99">
        <f t="shared" si="0"/>
        <v>0</v>
      </c>
      <c r="AZ16" s="100"/>
      <c r="BA16" s="100"/>
      <c r="BB16" s="100"/>
      <c r="BC16" s="100"/>
      <c r="BD16" s="100"/>
      <c r="BE16" s="100"/>
      <c r="BF16" s="100"/>
      <c r="BG16" s="99">
        <f>'Stavební rozpočet'!K18</f>
        <v>0.66</v>
      </c>
      <c r="BH16" s="100"/>
      <c r="BI16" s="100"/>
      <c r="BJ16" s="100"/>
      <c r="BK16" s="100"/>
      <c r="BL16" s="100"/>
      <c r="BM16" s="100"/>
      <c r="BN16" s="100"/>
      <c r="BO16" s="99">
        <f t="shared" si="1"/>
        <v>17.3052</v>
      </c>
      <c r="BP16" s="100"/>
      <c r="BQ16" s="100"/>
      <c r="BR16" s="100"/>
      <c r="BS16" s="100"/>
      <c r="BT16" s="100"/>
      <c r="BU16" s="100"/>
      <c r="BV16" s="100"/>
      <c r="IR16" s="39">
        <f>AQ16*0</f>
        <v>0</v>
      </c>
      <c r="IS16" s="39">
        <f>AQ16*(1-0)</f>
        <v>0</v>
      </c>
    </row>
    <row r="17" spans="1:253" ht="12.75">
      <c r="A17" s="97" t="s">
        <v>12</v>
      </c>
      <c r="B17" s="98"/>
      <c r="C17" s="97" t="s">
        <v>131</v>
      </c>
      <c r="D17" s="98"/>
      <c r="E17" s="98"/>
      <c r="F17" s="98"/>
      <c r="G17" s="98"/>
      <c r="H17" s="98"/>
      <c r="I17" s="97" t="s">
        <v>261</v>
      </c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7" t="s">
        <v>443</v>
      </c>
      <c r="AK17" s="98"/>
      <c r="AL17" s="99">
        <f>'Stavební rozpočet'!F19</f>
        <v>59</v>
      </c>
      <c r="AM17" s="100"/>
      <c r="AN17" s="100"/>
      <c r="AO17" s="100"/>
      <c r="AP17" s="100"/>
      <c r="AQ17" s="99">
        <f>'Stavební rozpočet'!G19</f>
        <v>0</v>
      </c>
      <c r="AR17" s="100"/>
      <c r="AS17" s="100"/>
      <c r="AT17" s="100"/>
      <c r="AU17" s="100"/>
      <c r="AV17" s="100"/>
      <c r="AW17" s="100"/>
      <c r="AX17" s="100"/>
      <c r="AY17" s="99">
        <f t="shared" si="0"/>
        <v>0</v>
      </c>
      <c r="AZ17" s="100"/>
      <c r="BA17" s="100"/>
      <c r="BB17" s="100"/>
      <c r="BC17" s="100"/>
      <c r="BD17" s="100"/>
      <c r="BE17" s="100"/>
      <c r="BF17" s="100"/>
      <c r="BG17" s="99">
        <f>'Stavební rozpočet'!K19</f>
        <v>0.02478</v>
      </c>
      <c r="BH17" s="100"/>
      <c r="BI17" s="100"/>
      <c r="BJ17" s="100"/>
      <c r="BK17" s="100"/>
      <c r="BL17" s="100"/>
      <c r="BM17" s="100"/>
      <c r="BN17" s="100"/>
      <c r="BO17" s="99">
        <f t="shared" si="1"/>
        <v>1.46202</v>
      </c>
      <c r="BP17" s="100"/>
      <c r="BQ17" s="100"/>
      <c r="BR17" s="100"/>
      <c r="BS17" s="100"/>
      <c r="BT17" s="100"/>
      <c r="BU17" s="100"/>
      <c r="BV17" s="100"/>
      <c r="IR17" s="39">
        <f>AQ17*0.3</f>
        <v>0</v>
      </c>
      <c r="IS17" s="39">
        <f>AQ17*(1-0.3)</f>
        <v>0</v>
      </c>
    </row>
    <row r="18" spans="1:253" ht="12.75">
      <c r="A18" s="97" t="s">
        <v>13</v>
      </c>
      <c r="B18" s="98"/>
      <c r="C18" s="97" t="s">
        <v>132</v>
      </c>
      <c r="D18" s="98"/>
      <c r="E18" s="98"/>
      <c r="F18" s="98"/>
      <c r="G18" s="98"/>
      <c r="H18" s="98"/>
      <c r="I18" s="97" t="s">
        <v>262</v>
      </c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7" t="s">
        <v>443</v>
      </c>
      <c r="AK18" s="98"/>
      <c r="AL18" s="99">
        <f>'Stavební rozpočet'!F20</f>
        <v>11</v>
      </c>
      <c r="AM18" s="100"/>
      <c r="AN18" s="100"/>
      <c r="AO18" s="100"/>
      <c r="AP18" s="100"/>
      <c r="AQ18" s="99">
        <f>'Stavební rozpočet'!G20</f>
        <v>0</v>
      </c>
      <c r="AR18" s="100"/>
      <c r="AS18" s="100"/>
      <c r="AT18" s="100"/>
      <c r="AU18" s="100"/>
      <c r="AV18" s="100"/>
      <c r="AW18" s="100"/>
      <c r="AX18" s="100"/>
      <c r="AY18" s="99">
        <f t="shared" si="0"/>
        <v>0</v>
      </c>
      <c r="AZ18" s="100"/>
      <c r="BA18" s="100"/>
      <c r="BB18" s="100"/>
      <c r="BC18" s="100"/>
      <c r="BD18" s="100"/>
      <c r="BE18" s="100"/>
      <c r="BF18" s="100"/>
      <c r="BG18" s="99">
        <f>'Stavební rozpočet'!K20</f>
        <v>0.00869</v>
      </c>
      <c r="BH18" s="100"/>
      <c r="BI18" s="100"/>
      <c r="BJ18" s="100"/>
      <c r="BK18" s="100"/>
      <c r="BL18" s="100"/>
      <c r="BM18" s="100"/>
      <c r="BN18" s="100"/>
      <c r="BO18" s="99">
        <f t="shared" si="1"/>
        <v>0.09559</v>
      </c>
      <c r="BP18" s="100"/>
      <c r="BQ18" s="100"/>
      <c r="BR18" s="100"/>
      <c r="BS18" s="100"/>
      <c r="BT18" s="100"/>
      <c r="BU18" s="100"/>
      <c r="BV18" s="100"/>
      <c r="IR18" s="39">
        <f>AQ18*0.288794184006017</f>
        <v>0</v>
      </c>
      <c r="IS18" s="39">
        <f>AQ18*(1-0.288794184006017)</f>
        <v>0</v>
      </c>
    </row>
    <row r="19" spans="1:253" ht="12.75">
      <c r="A19" s="97" t="s">
        <v>14</v>
      </c>
      <c r="B19" s="98"/>
      <c r="C19" s="97" t="s">
        <v>133</v>
      </c>
      <c r="D19" s="98"/>
      <c r="E19" s="98"/>
      <c r="F19" s="98"/>
      <c r="G19" s="98"/>
      <c r="H19" s="98"/>
      <c r="I19" s="97" t="s">
        <v>263</v>
      </c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7" t="s">
        <v>442</v>
      </c>
      <c r="AK19" s="98"/>
      <c r="AL19" s="99">
        <f>'Stavební rozpočet'!F21</f>
        <v>1309</v>
      </c>
      <c r="AM19" s="100"/>
      <c r="AN19" s="100"/>
      <c r="AO19" s="100"/>
      <c r="AP19" s="100"/>
      <c r="AQ19" s="99">
        <f>'Stavební rozpočet'!G21</f>
        <v>0</v>
      </c>
      <c r="AR19" s="100"/>
      <c r="AS19" s="100"/>
      <c r="AT19" s="100"/>
      <c r="AU19" s="100"/>
      <c r="AV19" s="100"/>
      <c r="AW19" s="100"/>
      <c r="AX19" s="100"/>
      <c r="AY19" s="99">
        <f t="shared" si="0"/>
        <v>0</v>
      </c>
      <c r="AZ19" s="100"/>
      <c r="BA19" s="100"/>
      <c r="BB19" s="100"/>
      <c r="BC19" s="100"/>
      <c r="BD19" s="100"/>
      <c r="BE19" s="100"/>
      <c r="BF19" s="100"/>
      <c r="BG19" s="99">
        <f>'Stavební rozpočet'!K21</f>
        <v>0</v>
      </c>
      <c r="BH19" s="100"/>
      <c r="BI19" s="100"/>
      <c r="BJ19" s="100"/>
      <c r="BK19" s="100"/>
      <c r="BL19" s="100"/>
      <c r="BM19" s="100"/>
      <c r="BN19" s="100"/>
      <c r="BO19" s="99">
        <f t="shared" si="1"/>
        <v>0</v>
      </c>
      <c r="BP19" s="100"/>
      <c r="BQ19" s="100"/>
      <c r="BR19" s="100"/>
      <c r="BS19" s="100"/>
      <c r="BT19" s="100"/>
      <c r="BU19" s="100"/>
      <c r="BV19" s="100"/>
      <c r="IR19" s="39">
        <f>AQ19*0</f>
        <v>0</v>
      </c>
      <c r="IS19" s="39">
        <f>AQ19*(1-0)</f>
        <v>0</v>
      </c>
    </row>
    <row r="20" spans="1:253" ht="12.75">
      <c r="A20" s="97" t="s">
        <v>15</v>
      </c>
      <c r="B20" s="98"/>
      <c r="C20" s="97" t="s">
        <v>134</v>
      </c>
      <c r="D20" s="98"/>
      <c r="E20" s="98"/>
      <c r="F20" s="98"/>
      <c r="G20" s="98"/>
      <c r="H20" s="98"/>
      <c r="I20" s="97" t="s">
        <v>264</v>
      </c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7" t="s">
        <v>444</v>
      </c>
      <c r="AK20" s="98"/>
      <c r="AL20" s="99">
        <f>'Stavební rozpočet'!F22</f>
        <v>150</v>
      </c>
      <c r="AM20" s="100"/>
      <c r="AN20" s="100"/>
      <c r="AO20" s="100"/>
      <c r="AP20" s="100"/>
      <c r="AQ20" s="99">
        <f>'Stavební rozpočet'!G22</f>
        <v>0</v>
      </c>
      <c r="AR20" s="100"/>
      <c r="AS20" s="100"/>
      <c r="AT20" s="100"/>
      <c r="AU20" s="100"/>
      <c r="AV20" s="100"/>
      <c r="AW20" s="100"/>
      <c r="AX20" s="100"/>
      <c r="AY20" s="99">
        <f t="shared" si="0"/>
        <v>0</v>
      </c>
      <c r="AZ20" s="100"/>
      <c r="BA20" s="100"/>
      <c r="BB20" s="100"/>
      <c r="BC20" s="100"/>
      <c r="BD20" s="100"/>
      <c r="BE20" s="100"/>
      <c r="BF20" s="100"/>
      <c r="BG20" s="99">
        <f>'Stavební rozpočet'!K22</f>
        <v>0</v>
      </c>
      <c r="BH20" s="100"/>
      <c r="BI20" s="100"/>
      <c r="BJ20" s="100"/>
      <c r="BK20" s="100"/>
      <c r="BL20" s="100"/>
      <c r="BM20" s="100"/>
      <c r="BN20" s="100"/>
      <c r="BO20" s="99">
        <f t="shared" si="1"/>
        <v>0</v>
      </c>
      <c r="BP20" s="100"/>
      <c r="BQ20" s="100"/>
      <c r="BR20" s="100"/>
      <c r="BS20" s="100"/>
      <c r="BT20" s="100"/>
      <c r="BU20" s="100"/>
      <c r="BV20" s="100"/>
      <c r="IR20" s="39">
        <f>AQ20*0</f>
        <v>0</v>
      </c>
      <c r="IS20" s="39">
        <f>AQ20*(1-0)</f>
        <v>0</v>
      </c>
    </row>
    <row r="21" spans="1:253" ht="12.75">
      <c r="A21" s="97" t="s">
        <v>16</v>
      </c>
      <c r="B21" s="98"/>
      <c r="C21" s="97" t="s">
        <v>135</v>
      </c>
      <c r="D21" s="98"/>
      <c r="E21" s="98"/>
      <c r="F21" s="98"/>
      <c r="G21" s="98"/>
      <c r="H21" s="98"/>
      <c r="I21" s="97" t="s">
        <v>265</v>
      </c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7" t="s">
        <v>445</v>
      </c>
      <c r="AK21" s="98"/>
      <c r="AL21" s="99">
        <f>'Stavební rozpočet'!F23</f>
        <v>50</v>
      </c>
      <c r="AM21" s="100"/>
      <c r="AN21" s="100"/>
      <c r="AO21" s="100"/>
      <c r="AP21" s="100"/>
      <c r="AQ21" s="99">
        <f>'Stavební rozpočet'!G23</f>
        <v>0</v>
      </c>
      <c r="AR21" s="100"/>
      <c r="AS21" s="100"/>
      <c r="AT21" s="100"/>
      <c r="AU21" s="100"/>
      <c r="AV21" s="100"/>
      <c r="AW21" s="100"/>
      <c r="AX21" s="100"/>
      <c r="AY21" s="99">
        <f t="shared" si="0"/>
        <v>0</v>
      </c>
      <c r="AZ21" s="100"/>
      <c r="BA21" s="100"/>
      <c r="BB21" s="100"/>
      <c r="BC21" s="100"/>
      <c r="BD21" s="100"/>
      <c r="BE21" s="100"/>
      <c r="BF21" s="100"/>
      <c r="BG21" s="99">
        <f>'Stavební rozpočet'!K23</f>
        <v>0</v>
      </c>
      <c r="BH21" s="100"/>
      <c r="BI21" s="100"/>
      <c r="BJ21" s="100"/>
      <c r="BK21" s="100"/>
      <c r="BL21" s="100"/>
      <c r="BM21" s="100"/>
      <c r="BN21" s="100"/>
      <c r="BO21" s="99">
        <f t="shared" si="1"/>
        <v>0</v>
      </c>
      <c r="BP21" s="100"/>
      <c r="BQ21" s="100"/>
      <c r="BR21" s="100"/>
      <c r="BS21" s="100"/>
      <c r="BT21" s="100"/>
      <c r="BU21" s="100"/>
      <c r="BV21" s="100"/>
      <c r="IR21" s="39">
        <f>AQ21*0</f>
        <v>0</v>
      </c>
      <c r="IS21" s="39">
        <f>AQ21*(1-0)</f>
        <v>0</v>
      </c>
    </row>
    <row r="22" spans="1:253" ht="12.75">
      <c r="A22" s="97" t="s">
        <v>17</v>
      </c>
      <c r="B22" s="98"/>
      <c r="C22" s="97" t="s">
        <v>136</v>
      </c>
      <c r="D22" s="98"/>
      <c r="E22" s="98"/>
      <c r="F22" s="98"/>
      <c r="G22" s="98"/>
      <c r="H22" s="98"/>
      <c r="I22" s="97" t="s">
        <v>266</v>
      </c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7" t="s">
        <v>442</v>
      </c>
      <c r="AK22" s="98"/>
      <c r="AL22" s="99">
        <f>'Stavební rozpočet'!F24</f>
        <v>37.8</v>
      </c>
      <c r="AM22" s="100"/>
      <c r="AN22" s="100"/>
      <c r="AO22" s="100"/>
      <c r="AP22" s="100"/>
      <c r="AQ22" s="99">
        <f>'Stavební rozpočet'!G24</f>
        <v>0</v>
      </c>
      <c r="AR22" s="100"/>
      <c r="AS22" s="100"/>
      <c r="AT22" s="100"/>
      <c r="AU22" s="100"/>
      <c r="AV22" s="100"/>
      <c r="AW22" s="100"/>
      <c r="AX22" s="100"/>
      <c r="AY22" s="99">
        <f t="shared" si="0"/>
        <v>0</v>
      </c>
      <c r="AZ22" s="100"/>
      <c r="BA22" s="100"/>
      <c r="BB22" s="100"/>
      <c r="BC22" s="100"/>
      <c r="BD22" s="100"/>
      <c r="BE22" s="100"/>
      <c r="BF22" s="100"/>
      <c r="BG22" s="99">
        <f>'Stavební rozpočet'!K24</f>
        <v>0.355</v>
      </c>
      <c r="BH22" s="100"/>
      <c r="BI22" s="100"/>
      <c r="BJ22" s="100"/>
      <c r="BK22" s="100"/>
      <c r="BL22" s="100"/>
      <c r="BM22" s="100"/>
      <c r="BN22" s="100"/>
      <c r="BO22" s="99">
        <f t="shared" si="1"/>
        <v>13.418999999999999</v>
      </c>
      <c r="BP22" s="100"/>
      <c r="BQ22" s="100"/>
      <c r="BR22" s="100"/>
      <c r="BS22" s="100"/>
      <c r="BT22" s="100"/>
      <c r="BU22" s="100"/>
      <c r="BV22" s="100"/>
      <c r="IR22" s="39">
        <f>AQ22*0</f>
        <v>0</v>
      </c>
      <c r="IS22" s="39">
        <f>AQ22*(1-0)</f>
        <v>0</v>
      </c>
    </row>
    <row r="23" spans="1:74" ht="12.75">
      <c r="A23" s="101" t="s">
        <v>6</v>
      </c>
      <c r="B23" s="102"/>
      <c r="C23" s="101" t="s">
        <v>18</v>
      </c>
      <c r="D23" s="102"/>
      <c r="E23" s="102"/>
      <c r="F23" s="102"/>
      <c r="G23" s="102"/>
      <c r="H23" s="102"/>
      <c r="I23" s="101" t="s">
        <v>267</v>
      </c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1" t="s">
        <v>6</v>
      </c>
      <c r="AK23" s="102"/>
      <c r="AL23" s="103" t="s">
        <v>6</v>
      </c>
      <c r="AM23" s="104"/>
      <c r="AN23" s="104"/>
      <c r="AO23" s="104"/>
      <c r="AP23" s="104"/>
      <c r="AQ23" s="103" t="s">
        <v>6</v>
      </c>
      <c r="AR23" s="104"/>
      <c r="AS23" s="104"/>
      <c r="AT23" s="104"/>
      <c r="AU23" s="104"/>
      <c r="AV23" s="104"/>
      <c r="AW23" s="104"/>
      <c r="AX23" s="104"/>
      <c r="AY23" s="105">
        <f>SUM(AY24:AY24)</f>
        <v>0</v>
      </c>
      <c r="AZ23" s="104"/>
      <c r="BA23" s="104"/>
      <c r="BB23" s="104"/>
      <c r="BC23" s="104"/>
      <c r="BD23" s="104"/>
      <c r="BE23" s="104"/>
      <c r="BF23" s="104"/>
      <c r="BG23" s="103" t="s">
        <v>6</v>
      </c>
      <c r="BH23" s="104"/>
      <c r="BI23" s="104"/>
      <c r="BJ23" s="104"/>
      <c r="BK23" s="104"/>
      <c r="BL23" s="104"/>
      <c r="BM23" s="104"/>
      <c r="BN23" s="104"/>
      <c r="BO23" s="105">
        <f>SUM(BO24:BO24)</f>
        <v>0</v>
      </c>
      <c r="BP23" s="104"/>
      <c r="BQ23" s="104"/>
      <c r="BR23" s="104"/>
      <c r="BS23" s="104"/>
      <c r="BT23" s="104"/>
      <c r="BU23" s="104"/>
      <c r="BV23" s="104"/>
    </row>
    <row r="24" spans="1:253" ht="12.75">
      <c r="A24" s="97" t="s">
        <v>18</v>
      </c>
      <c r="B24" s="98"/>
      <c r="C24" s="97" t="s">
        <v>137</v>
      </c>
      <c r="D24" s="98"/>
      <c r="E24" s="98"/>
      <c r="F24" s="98"/>
      <c r="G24" s="98"/>
      <c r="H24" s="98"/>
      <c r="I24" s="97" t="s">
        <v>268</v>
      </c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7" t="s">
        <v>446</v>
      </c>
      <c r="AK24" s="98"/>
      <c r="AL24" s="99">
        <f>'Stavební rozpočet'!F26</f>
        <v>78</v>
      </c>
      <c r="AM24" s="100"/>
      <c r="AN24" s="100"/>
      <c r="AO24" s="100"/>
      <c r="AP24" s="100"/>
      <c r="AQ24" s="99">
        <f>'Stavební rozpočet'!G26</f>
        <v>0</v>
      </c>
      <c r="AR24" s="100"/>
      <c r="AS24" s="100"/>
      <c r="AT24" s="100"/>
      <c r="AU24" s="100"/>
      <c r="AV24" s="100"/>
      <c r="AW24" s="100"/>
      <c r="AX24" s="100"/>
      <c r="AY24" s="99">
        <f>IR24*AL24+IS24*AL24</f>
        <v>0</v>
      </c>
      <c r="AZ24" s="100"/>
      <c r="BA24" s="100"/>
      <c r="BB24" s="100"/>
      <c r="BC24" s="100"/>
      <c r="BD24" s="100"/>
      <c r="BE24" s="100"/>
      <c r="BF24" s="100"/>
      <c r="BG24" s="99">
        <f>'Stavební rozpočet'!K26</f>
        <v>0</v>
      </c>
      <c r="BH24" s="100"/>
      <c r="BI24" s="100"/>
      <c r="BJ24" s="100"/>
      <c r="BK24" s="100"/>
      <c r="BL24" s="100"/>
      <c r="BM24" s="100"/>
      <c r="BN24" s="100"/>
      <c r="BO24" s="99">
        <f>BG24*AL24</f>
        <v>0</v>
      </c>
      <c r="BP24" s="100"/>
      <c r="BQ24" s="100"/>
      <c r="BR24" s="100"/>
      <c r="BS24" s="100"/>
      <c r="BT24" s="100"/>
      <c r="BU24" s="100"/>
      <c r="BV24" s="100"/>
      <c r="IR24" s="39">
        <f>AQ24*0</f>
        <v>0</v>
      </c>
      <c r="IS24" s="39">
        <f>AQ24*(1-0)</f>
        <v>0</v>
      </c>
    </row>
    <row r="25" spans="1:74" ht="12.75">
      <c r="A25" s="101" t="s">
        <v>6</v>
      </c>
      <c r="B25" s="102"/>
      <c r="C25" s="101" t="s">
        <v>19</v>
      </c>
      <c r="D25" s="102"/>
      <c r="E25" s="102"/>
      <c r="F25" s="102"/>
      <c r="G25" s="102"/>
      <c r="H25" s="102"/>
      <c r="I25" s="101" t="s">
        <v>269</v>
      </c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1" t="s">
        <v>6</v>
      </c>
      <c r="AK25" s="102"/>
      <c r="AL25" s="103" t="s">
        <v>6</v>
      </c>
      <c r="AM25" s="104"/>
      <c r="AN25" s="104"/>
      <c r="AO25" s="104"/>
      <c r="AP25" s="104"/>
      <c r="AQ25" s="103" t="s">
        <v>6</v>
      </c>
      <c r="AR25" s="104"/>
      <c r="AS25" s="104"/>
      <c r="AT25" s="104"/>
      <c r="AU25" s="104"/>
      <c r="AV25" s="104"/>
      <c r="AW25" s="104"/>
      <c r="AX25" s="104"/>
      <c r="AY25" s="105">
        <f>SUM(AY26:AY33)</f>
        <v>0</v>
      </c>
      <c r="AZ25" s="104"/>
      <c r="BA25" s="104"/>
      <c r="BB25" s="104"/>
      <c r="BC25" s="104"/>
      <c r="BD25" s="104"/>
      <c r="BE25" s="104"/>
      <c r="BF25" s="104"/>
      <c r="BG25" s="103" t="s">
        <v>6</v>
      </c>
      <c r="BH25" s="104"/>
      <c r="BI25" s="104"/>
      <c r="BJ25" s="104"/>
      <c r="BK25" s="104"/>
      <c r="BL25" s="104"/>
      <c r="BM25" s="104"/>
      <c r="BN25" s="104"/>
      <c r="BO25" s="105">
        <f>SUM(BO26:BO33)</f>
        <v>156</v>
      </c>
      <c r="BP25" s="104"/>
      <c r="BQ25" s="104"/>
      <c r="BR25" s="104"/>
      <c r="BS25" s="104"/>
      <c r="BT25" s="104"/>
      <c r="BU25" s="104"/>
      <c r="BV25" s="104"/>
    </row>
    <row r="26" spans="1:253" ht="12.75">
      <c r="A26" s="97" t="s">
        <v>19</v>
      </c>
      <c r="B26" s="98"/>
      <c r="C26" s="97" t="s">
        <v>138</v>
      </c>
      <c r="D26" s="98"/>
      <c r="E26" s="98"/>
      <c r="F26" s="98"/>
      <c r="G26" s="98"/>
      <c r="H26" s="98"/>
      <c r="I26" s="97" t="s">
        <v>270</v>
      </c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7" t="s">
        <v>446</v>
      </c>
      <c r="AK26" s="98"/>
      <c r="AL26" s="99">
        <f>'Stavební rozpočet'!F28</f>
        <v>41</v>
      </c>
      <c r="AM26" s="100"/>
      <c r="AN26" s="100"/>
      <c r="AO26" s="100"/>
      <c r="AP26" s="100"/>
      <c r="AQ26" s="99">
        <f>'Stavební rozpočet'!G28</f>
        <v>0</v>
      </c>
      <c r="AR26" s="100"/>
      <c r="AS26" s="100"/>
      <c r="AT26" s="100"/>
      <c r="AU26" s="100"/>
      <c r="AV26" s="100"/>
      <c r="AW26" s="100"/>
      <c r="AX26" s="100"/>
      <c r="AY26" s="99">
        <f aca="true" t="shared" si="2" ref="AY26:AY33">IR26*AL26+IS26*AL26</f>
        <v>0</v>
      </c>
      <c r="AZ26" s="100"/>
      <c r="BA26" s="100"/>
      <c r="BB26" s="100"/>
      <c r="BC26" s="100"/>
      <c r="BD26" s="100"/>
      <c r="BE26" s="100"/>
      <c r="BF26" s="100"/>
      <c r="BG26" s="99">
        <f>'Stavební rozpočet'!K28</f>
        <v>0</v>
      </c>
      <c r="BH26" s="100"/>
      <c r="BI26" s="100"/>
      <c r="BJ26" s="100"/>
      <c r="BK26" s="100"/>
      <c r="BL26" s="100"/>
      <c r="BM26" s="100"/>
      <c r="BN26" s="100"/>
      <c r="BO26" s="99">
        <f aca="true" t="shared" si="3" ref="BO26:BO33">BG26*AL26</f>
        <v>0</v>
      </c>
      <c r="BP26" s="100"/>
      <c r="BQ26" s="100"/>
      <c r="BR26" s="100"/>
      <c r="BS26" s="100"/>
      <c r="BT26" s="100"/>
      <c r="BU26" s="100"/>
      <c r="BV26" s="100"/>
      <c r="IR26" s="39">
        <f aca="true" t="shared" si="4" ref="IR26:IR33">AQ26*0</f>
        <v>0</v>
      </c>
      <c r="IS26" s="39">
        <f aca="true" t="shared" si="5" ref="IS26:IS33">AQ26*(1-0)</f>
        <v>0</v>
      </c>
    </row>
    <row r="27" spans="1:253" ht="12.75">
      <c r="A27" s="97" t="s">
        <v>20</v>
      </c>
      <c r="B27" s="98"/>
      <c r="C27" s="97" t="s">
        <v>139</v>
      </c>
      <c r="D27" s="98"/>
      <c r="E27" s="98"/>
      <c r="F27" s="98"/>
      <c r="G27" s="98"/>
      <c r="H27" s="98"/>
      <c r="I27" s="97" t="s">
        <v>271</v>
      </c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7" t="s">
        <v>446</v>
      </c>
      <c r="AK27" s="98"/>
      <c r="AL27" s="99">
        <f>'Stavební rozpočet'!F29</f>
        <v>65</v>
      </c>
      <c r="AM27" s="100"/>
      <c r="AN27" s="100"/>
      <c r="AO27" s="100"/>
      <c r="AP27" s="100"/>
      <c r="AQ27" s="99">
        <f>'Stavební rozpočet'!G29</f>
        <v>0</v>
      </c>
      <c r="AR27" s="100"/>
      <c r="AS27" s="100"/>
      <c r="AT27" s="100"/>
      <c r="AU27" s="100"/>
      <c r="AV27" s="100"/>
      <c r="AW27" s="100"/>
      <c r="AX27" s="100"/>
      <c r="AY27" s="99">
        <f t="shared" si="2"/>
        <v>0</v>
      </c>
      <c r="AZ27" s="100"/>
      <c r="BA27" s="100"/>
      <c r="BB27" s="100"/>
      <c r="BC27" s="100"/>
      <c r="BD27" s="100"/>
      <c r="BE27" s="100"/>
      <c r="BF27" s="100"/>
      <c r="BG27" s="99">
        <f>'Stavební rozpočet'!K29</f>
        <v>2.4</v>
      </c>
      <c r="BH27" s="100"/>
      <c r="BI27" s="100"/>
      <c r="BJ27" s="100"/>
      <c r="BK27" s="100"/>
      <c r="BL27" s="100"/>
      <c r="BM27" s="100"/>
      <c r="BN27" s="100"/>
      <c r="BO27" s="99">
        <f t="shared" si="3"/>
        <v>156</v>
      </c>
      <c r="BP27" s="100"/>
      <c r="BQ27" s="100"/>
      <c r="BR27" s="100"/>
      <c r="BS27" s="100"/>
      <c r="BT27" s="100"/>
      <c r="BU27" s="100"/>
      <c r="BV27" s="100"/>
      <c r="IR27" s="39">
        <f t="shared" si="4"/>
        <v>0</v>
      </c>
      <c r="IS27" s="39">
        <f t="shared" si="5"/>
        <v>0</v>
      </c>
    </row>
    <row r="28" spans="1:253" ht="12.75">
      <c r="A28" s="97" t="s">
        <v>21</v>
      </c>
      <c r="B28" s="98"/>
      <c r="C28" s="97" t="s">
        <v>140</v>
      </c>
      <c r="D28" s="98"/>
      <c r="E28" s="98"/>
      <c r="F28" s="98"/>
      <c r="G28" s="98"/>
      <c r="H28" s="98"/>
      <c r="I28" s="97" t="s">
        <v>273</v>
      </c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7" t="s">
        <v>446</v>
      </c>
      <c r="AK28" s="98"/>
      <c r="AL28" s="99">
        <f>'Stavební rozpočet'!F31</f>
        <v>266.44</v>
      </c>
      <c r="AM28" s="100"/>
      <c r="AN28" s="100"/>
      <c r="AO28" s="100"/>
      <c r="AP28" s="100"/>
      <c r="AQ28" s="99">
        <f>'Stavební rozpočet'!G31</f>
        <v>0</v>
      </c>
      <c r="AR28" s="100"/>
      <c r="AS28" s="100"/>
      <c r="AT28" s="100"/>
      <c r="AU28" s="100"/>
      <c r="AV28" s="100"/>
      <c r="AW28" s="100"/>
      <c r="AX28" s="100"/>
      <c r="AY28" s="99">
        <f t="shared" si="2"/>
        <v>0</v>
      </c>
      <c r="AZ28" s="100"/>
      <c r="BA28" s="100"/>
      <c r="BB28" s="100"/>
      <c r="BC28" s="100"/>
      <c r="BD28" s="100"/>
      <c r="BE28" s="100"/>
      <c r="BF28" s="100"/>
      <c r="BG28" s="99">
        <f>'Stavební rozpočet'!K31</f>
        <v>0</v>
      </c>
      <c r="BH28" s="100"/>
      <c r="BI28" s="100"/>
      <c r="BJ28" s="100"/>
      <c r="BK28" s="100"/>
      <c r="BL28" s="100"/>
      <c r="BM28" s="100"/>
      <c r="BN28" s="100"/>
      <c r="BO28" s="99">
        <f t="shared" si="3"/>
        <v>0</v>
      </c>
      <c r="BP28" s="100"/>
      <c r="BQ28" s="100"/>
      <c r="BR28" s="100"/>
      <c r="BS28" s="100"/>
      <c r="BT28" s="100"/>
      <c r="BU28" s="100"/>
      <c r="BV28" s="100"/>
      <c r="IR28" s="39">
        <f t="shared" si="4"/>
        <v>0</v>
      </c>
      <c r="IS28" s="39">
        <f t="shared" si="5"/>
        <v>0</v>
      </c>
    </row>
    <row r="29" spans="1:253" ht="12.75">
      <c r="A29" s="97" t="s">
        <v>22</v>
      </c>
      <c r="B29" s="98"/>
      <c r="C29" s="97" t="s">
        <v>141</v>
      </c>
      <c r="D29" s="98"/>
      <c r="E29" s="98"/>
      <c r="F29" s="98"/>
      <c r="G29" s="98"/>
      <c r="H29" s="98"/>
      <c r="I29" s="97" t="s">
        <v>274</v>
      </c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7" t="s">
        <v>446</v>
      </c>
      <c r="AK29" s="98"/>
      <c r="AL29" s="99">
        <f>'Stavební rozpočet'!F32</f>
        <v>53.288</v>
      </c>
      <c r="AM29" s="100"/>
      <c r="AN29" s="100"/>
      <c r="AO29" s="100"/>
      <c r="AP29" s="100"/>
      <c r="AQ29" s="99">
        <f>'Stavební rozpočet'!G32</f>
        <v>0</v>
      </c>
      <c r="AR29" s="100"/>
      <c r="AS29" s="100"/>
      <c r="AT29" s="100"/>
      <c r="AU29" s="100"/>
      <c r="AV29" s="100"/>
      <c r="AW29" s="100"/>
      <c r="AX29" s="100"/>
      <c r="AY29" s="99">
        <f t="shared" si="2"/>
        <v>0</v>
      </c>
      <c r="AZ29" s="100"/>
      <c r="BA29" s="100"/>
      <c r="BB29" s="100"/>
      <c r="BC29" s="100"/>
      <c r="BD29" s="100"/>
      <c r="BE29" s="100"/>
      <c r="BF29" s="100"/>
      <c r="BG29" s="99">
        <f>'Stavební rozpočet'!K32</f>
        <v>0</v>
      </c>
      <c r="BH29" s="100"/>
      <c r="BI29" s="100"/>
      <c r="BJ29" s="100"/>
      <c r="BK29" s="100"/>
      <c r="BL29" s="100"/>
      <c r="BM29" s="100"/>
      <c r="BN29" s="100"/>
      <c r="BO29" s="99">
        <f t="shared" si="3"/>
        <v>0</v>
      </c>
      <c r="BP29" s="100"/>
      <c r="BQ29" s="100"/>
      <c r="BR29" s="100"/>
      <c r="BS29" s="100"/>
      <c r="BT29" s="100"/>
      <c r="BU29" s="100"/>
      <c r="BV29" s="100"/>
      <c r="IR29" s="39">
        <f t="shared" si="4"/>
        <v>0</v>
      </c>
      <c r="IS29" s="39">
        <f t="shared" si="5"/>
        <v>0</v>
      </c>
    </row>
    <row r="30" spans="1:253" ht="12.75">
      <c r="A30" s="97" t="s">
        <v>23</v>
      </c>
      <c r="B30" s="98"/>
      <c r="C30" s="97" t="s">
        <v>142</v>
      </c>
      <c r="D30" s="98"/>
      <c r="E30" s="98"/>
      <c r="F30" s="98"/>
      <c r="G30" s="98"/>
      <c r="H30" s="98"/>
      <c r="I30" s="97" t="s">
        <v>275</v>
      </c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7" t="s">
        <v>446</v>
      </c>
      <c r="AK30" s="98"/>
      <c r="AL30" s="99">
        <f>'Stavební rozpočet'!F33</f>
        <v>54.58</v>
      </c>
      <c r="AM30" s="100"/>
      <c r="AN30" s="100"/>
      <c r="AO30" s="100"/>
      <c r="AP30" s="100"/>
      <c r="AQ30" s="99">
        <f>'Stavební rozpočet'!G33</f>
        <v>0</v>
      </c>
      <c r="AR30" s="100"/>
      <c r="AS30" s="100"/>
      <c r="AT30" s="100"/>
      <c r="AU30" s="100"/>
      <c r="AV30" s="100"/>
      <c r="AW30" s="100"/>
      <c r="AX30" s="100"/>
      <c r="AY30" s="99">
        <f t="shared" si="2"/>
        <v>0</v>
      </c>
      <c r="AZ30" s="100"/>
      <c r="BA30" s="100"/>
      <c r="BB30" s="100"/>
      <c r="BC30" s="100"/>
      <c r="BD30" s="100"/>
      <c r="BE30" s="100"/>
      <c r="BF30" s="100"/>
      <c r="BG30" s="99">
        <f>'Stavební rozpočet'!K33</f>
        <v>0</v>
      </c>
      <c r="BH30" s="100"/>
      <c r="BI30" s="100"/>
      <c r="BJ30" s="100"/>
      <c r="BK30" s="100"/>
      <c r="BL30" s="100"/>
      <c r="BM30" s="100"/>
      <c r="BN30" s="100"/>
      <c r="BO30" s="99">
        <f t="shared" si="3"/>
        <v>0</v>
      </c>
      <c r="BP30" s="100"/>
      <c r="BQ30" s="100"/>
      <c r="BR30" s="100"/>
      <c r="BS30" s="100"/>
      <c r="BT30" s="100"/>
      <c r="BU30" s="100"/>
      <c r="BV30" s="100"/>
      <c r="IR30" s="39">
        <f t="shared" si="4"/>
        <v>0</v>
      </c>
      <c r="IS30" s="39">
        <f t="shared" si="5"/>
        <v>0</v>
      </c>
    </row>
    <row r="31" spans="1:253" ht="12.75">
      <c r="A31" s="97" t="s">
        <v>24</v>
      </c>
      <c r="B31" s="98"/>
      <c r="C31" s="97" t="s">
        <v>143</v>
      </c>
      <c r="D31" s="98"/>
      <c r="E31" s="98"/>
      <c r="F31" s="98"/>
      <c r="G31" s="98"/>
      <c r="H31" s="98"/>
      <c r="I31" s="97" t="s">
        <v>276</v>
      </c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7" t="s">
        <v>446</v>
      </c>
      <c r="AK31" s="98"/>
      <c r="AL31" s="99">
        <f>'Stavební rozpočet'!F34</f>
        <v>266.44</v>
      </c>
      <c r="AM31" s="100"/>
      <c r="AN31" s="100"/>
      <c r="AO31" s="100"/>
      <c r="AP31" s="100"/>
      <c r="AQ31" s="99">
        <f>'Stavební rozpočet'!G34</f>
        <v>0</v>
      </c>
      <c r="AR31" s="100"/>
      <c r="AS31" s="100"/>
      <c r="AT31" s="100"/>
      <c r="AU31" s="100"/>
      <c r="AV31" s="100"/>
      <c r="AW31" s="100"/>
      <c r="AX31" s="100"/>
      <c r="AY31" s="99">
        <f t="shared" si="2"/>
        <v>0</v>
      </c>
      <c r="AZ31" s="100"/>
      <c r="BA31" s="100"/>
      <c r="BB31" s="100"/>
      <c r="BC31" s="100"/>
      <c r="BD31" s="100"/>
      <c r="BE31" s="100"/>
      <c r="BF31" s="100"/>
      <c r="BG31" s="99">
        <f>'Stavební rozpočet'!K34</f>
        <v>0</v>
      </c>
      <c r="BH31" s="100"/>
      <c r="BI31" s="100"/>
      <c r="BJ31" s="100"/>
      <c r="BK31" s="100"/>
      <c r="BL31" s="100"/>
      <c r="BM31" s="100"/>
      <c r="BN31" s="100"/>
      <c r="BO31" s="99">
        <f t="shared" si="3"/>
        <v>0</v>
      </c>
      <c r="BP31" s="100"/>
      <c r="BQ31" s="100"/>
      <c r="BR31" s="100"/>
      <c r="BS31" s="100"/>
      <c r="BT31" s="100"/>
      <c r="BU31" s="100"/>
      <c r="BV31" s="100"/>
      <c r="IR31" s="39">
        <f t="shared" si="4"/>
        <v>0</v>
      </c>
      <c r="IS31" s="39">
        <f t="shared" si="5"/>
        <v>0</v>
      </c>
    </row>
    <row r="32" spans="1:253" ht="12.75">
      <c r="A32" s="97" t="s">
        <v>25</v>
      </c>
      <c r="B32" s="98"/>
      <c r="C32" s="97" t="s">
        <v>144</v>
      </c>
      <c r="D32" s="98"/>
      <c r="E32" s="98"/>
      <c r="F32" s="98"/>
      <c r="G32" s="98"/>
      <c r="H32" s="98"/>
      <c r="I32" s="97" t="s">
        <v>277</v>
      </c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7" t="s">
        <v>446</v>
      </c>
      <c r="AK32" s="98"/>
      <c r="AL32" s="99">
        <f>'Stavební rozpočet'!F35</f>
        <v>53.288</v>
      </c>
      <c r="AM32" s="100"/>
      <c r="AN32" s="100"/>
      <c r="AO32" s="100"/>
      <c r="AP32" s="100"/>
      <c r="AQ32" s="99">
        <f>'Stavební rozpočet'!G35</f>
        <v>0</v>
      </c>
      <c r="AR32" s="100"/>
      <c r="AS32" s="100"/>
      <c r="AT32" s="100"/>
      <c r="AU32" s="100"/>
      <c r="AV32" s="100"/>
      <c r="AW32" s="100"/>
      <c r="AX32" s="100"/>
      <c r="AY32" s="99">
        <f t="shared" si="2"/>
        <v>0</v>
      </c>
      <c r="AZ32" s="100"/>
      <c r="BA32" s="100"/>
      <c r="BB32" s="100"/>
      <c r="BC32" s="100"/>
      <c r="BD32" s="100"/>
      <c r="BE32" s="100"/>
      <c r="BF32" s="100"/>
      <c r="BG32" s="99">
        <f>'Stavební rozpočet'!K35</f>
        <v>0</v>
      </c>
      <c r="BH32" s="100"/>
      <c r="BI32" s="100"/>
      <c r="BJ32" s="100"/>
      <c r="BK32" s="100"/>
      <c r="BL32" s="100"/>
      <c r="BM32" s="100"/>
      <c r="BN32" s="100"/>
      <c r="BO32" s="99">
        <f t="shared" si="3"/>
        <v>0</v>
      </c>
      <c r="BP32" s="100"/>
      <c r="BQ32" s="100"/>
      <c r="BR32" s="100"/>
      <c r="BS32" s="100"/>
      <c r="BT32" s="100"/>
      <c r="BU32" s="100"/>
      <c r="BV32" s="100"/>
      <c r="IR32" s="39">
        <f t="shared" si="4"/>
        <v>0</v>
      </c>
      <c r="IS32" s="39">
        <f t="shared" si="5"/>
        <v>0</v>
      </c>
    </row>
    <row r="33" spans="1:253" ht="12.75">
      <c r="A33" s="97" t="s">
        <v>26</v>
      </c>
      <c r="B33" s="98"/>
      <c r="C33" s="97" t="s">
        <v>145</v>
      </c>
      <c r="D33" s="98"/>
      <c r="E33" s="98"/>
      <c r="F33" s="98"/>
      <c r="G33" s="98"/>
      <c r="H33" s="98"/>
      <c r="I33" s="97" t="s">
        <v>278</v>
      </c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7" t="s">
        <v>446</v>
      </c>
      <c r="AK33" s="98"/>
      <c r="AL33" s="99">
        <f>'Stavební rozpočet'!F36</f>
        <v>0.28</v>
      </c>
      <c r="AM33" s="100"/>
      <c r="AN33" s="100"/>
      <c r="AO33" s="100"/>
      <c r="AP33" s="100"/>
      <c r="AQ33" s="99">
        <f>'Stavební rozpočet'!G36</f>
        <v>0</v>
      </c>
      <c r="AR33" s="100"/>
      <c r="AS33" s="100"/>
      <c r="AT33" s="100"/>
      <c r="AU33" s="100"/>
      <c r="AV33" s="100"/>
      <c r="AW33" s="100"/>
      <c r="AX33" s="100"/>
      <c r="AY33" s="99">
        <f t="shared" si="2"/>
        <v>0</v>
      </c>
      <c r="AZ33" s="100"/>
      <c r="BA33" s="100"/>
      <c r="BB33" s="100"/>
      <c r="BC33" s="100"/>
      <c r="BD33" s="100"/>
      <c r="BE33" s="100"/>
      <c r="BF33" s="100"/>
      <c r="BG33" s="99">
        <f>'Stavební rozpočet'!K36</f>
        <v>0</v>
      </c>
      <c r="BH33" s="100"/>
      <c r="BI33" s="100"/>
      <c r="BJ33" s="100"/>
      <c r="BK33" s="100"/>
      <c r="BL33" s="100"/>
      <c r="BM33" s="100"/>
      <c r="BN33" s="100"/>
      <c r="BO33" s="99">
        <f t="shared" si="3"/>
        <v>0</v>
      </c>
      <c r="BP33" s="100"/>
      <c r="BQ33" s="100"/>
      <c r="BR33" s="100"/>
      <c r="BS33" s="100"/>
      <c r="BT33" s="100"/>
      <c r="BU33" s="100"/>
      <c r="BV33" s="100"/>
      <c r="IR33" s="39">
        <f t="shared" si="4"/>
        <v>0</v>
      </c>
      <c r="IS33" s="39">
        <f t="shared" si="5"/>
        <v>0</v>
      </c>
    </row>
    <row r="34" spans="1:74" ht="12.75">
      <c r="A34" s="101" t="s">
        <v>6</v>
      </c>
      <c r="B34" s="102"/>
      <c r="C34" s="101" t="s">
        <v>21</v>
      </c>
      <c r="D34" s="102"/>
      <c r="E34" s="102"/>
      <c r="F34" s="102"/>
      <c r="G34" s="102"/>
      <c r="H34" s="102"/>
      <c r="I34" s="101" t="s">
        <v>279</v>
      </c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1" t="s">
        <v>6</v>
      </c>
      <c r="AK34" s="102"/>
      <c r="AL34" s="103" t="s">
        <v>6</v>
      </c>
      <c r="AM34" s="104"/>
      <c r="AN34" s="104"/>
      <c r="AO34" s="104"/>
      <c r="AP34" s="104"/>
      <c r="AQ34" s="103" t="s">
        <v>6</v>
      </c>
      <c r="AR34" s="104"/>
      <c r="AS34" s="104"/>
      <c r="AT34" s="104"/>
      <c r="AU34" s="104"/>
      <c r="AV34" s="104"/>
      <c r="AW34" s="104"/>
      <c r="AX34" s="104"/>
      <c r="AY34" s="105">
        <f>SUM(AY35:AY36)</f>
        <v>0</v>
      </c>
      <c r="AZ34" s="104"/>
      <c r="BA34" s="104"/>
      <c r="BB34" s="104"/>
      <c r="BC34" s="104"/>
      <c r="BD34" s="104"/>
      <c r="BE34" s="104"/>
      <c r="BF34" s="104"/>
      <c r="BG34" s="103" t="s">
        <v>6</v>
      </c>
      <c r="BH34" s="104"/>
      <c r="BI34" s="104"/>
      <c r="BJ34" s="104"/>
      <c r="BK34" s="104"/>
      <c r="BL34" s="104"/>
      <c r="BM34" s="104"/>
      <c r="BN34" s="104"/>
      <c r="BO34" s="105">
        <f>SUM(BO35:BO36)</f>
        <v>0.51678</v>
      </c>
      <c r="BP34" s="104"/>
      <c r="BQ34" s="104"/>
      <c r="BR34" s="104"/>
      <c r="BS34" s="104"/>
      <c r="BT34" s="104"/>
      <c r="BU34" s="104"/>
      <c r="BV34" s="104"/>
    </row>
    <row r="35" spans="1:253" ht="12.75">
      <c r="A35" s="97" t="s">
        <v>27</v>
      </c>
      <c r="B35" s="98"/>
      <c r="C35" s="97" t="s">
        <v>146</v>
      </c>
      <c r="D35" s="98"/>
      <c r="E35" s="98"/>
      <c r="F35" s="98"/>
      <c r="G35" s="98"/>
      <c r="H35" s="98"/>
      <c r="I35" s="97" t="s">
        <v>280</v>
      </c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7" t="s">
        <v>442</v>
      </c>
      <c r="AK35" s="98"/>
      <c r="AL35" s="99">
        <f>'Stavební rozpočet'!F38</f>
        <v>522</v>
      </c>
      <c r="AM35" s="100"/>
      <c r="AN35" s="100"/>
      <c r="AO35" s="100"/>
      <c r="AP35" s="100"/>
      <c r="AQ35" s="99">
        <f>'Stavební rozpočet'!G38</f>
        <v>0</v>
      </c>
      <c r="AR35" s="100"/>
      <c r="AS35" s="100"/>
      <c r="AT35" s="100"/>
      <c r="AU35" s="100"/>
      <c r="AV35" s="100"/>
      <c r="AW35" s="100"/>
      <c r="AX35" s="100"/>
      <c r="AY35" s="99">
        <f>IR35*AL35+IS35*AL35</f>
        <v>0</v>
      </c>
      <c r="AZ35" s="100"/>
      <c r="BA35" s="100"/>
      <c r="BB35" s="100"/>
      <c r="BC35" s="100"/>
      <c r="BD35" s="100"/>
      <c r="BE35" s="100"/>
      <c r="BF35" s="100"/>
      <c r="BG35" s="99">
        <f>'Stavební rozpočet'!K38</f>
        <v>0.00099</v>
      </c>
      <c r="BH35" s="100"/>
      <c r="BI35" s="100"/>
      <c r="BJ35" s="100"/>
      <c r="BK35" s="100"/>
      <c r="BL35" s="100"/>
      <c r="BM35" s="100"/>
      <c r="BN35" s="100"/>
      <c r="BO35" s="99">
        <f>BG35*AL35</f>
        <v>0.51678</v>
      </c>
      <c r="BP35" s="100"/>
      <c r="BQ35" s="100"/>
      <c r="BR35" s="100"/>
      <c r="BS35" s="100"/>
      <c r="BT35" s="100"/>
      <c r="BU35" s="100"/>
      <c r="BV35" s="100"/>
      <c r="IR35" s="39">
        <f>AQ35*0.0930864197530864</f>
        <v>0</v>
      </c>
      <c r="IS35" s="39">
        <f>AQ35*(1-0.0930864197530864)</f>
        <v>0</v>
      </c>
    </row>
    <row r="36" spans="1:253" ht="12.75">
      <c r="A36" s="97" t="s">
        <v>28</v>
      </c>
      <c r="B36" s="98"/>
      <c r="C36" s="97" t="s">
        <v>147</v>
      </c>
      <c r="D36" s="98"/>
      <c r="E36" s="98"/>
      <c r="F36" s="98"/>
      <c r="G36" s="98"/>
      <c r="H36" s="98"/>
      <c r="I36" s="97" t="s">
        <v>281</v>
      </c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7" t="s">
        <v>442</v>
      </c>
      <c r="AK36" s="98"/>
      <c r="AL36" s="99">
        <f>'Stavební rozpočet'!F39</f>
        <v>522</v>
      </c>
      <c r="AM36" s="100"/>
      <c r="AN36" s="100"/>
      <c r="AO36" s="100"/>
      <c r="AP36" s="100"/>
      <c r="AQ36" s="99">
        <f>'Stavební rozpočet'!G39</f>
        <v>0</v>
      </c>
      <c r="AR36" s="100"/>
      <c r="AS36" s="100"/>
      <c r="AT36" s="100"/>
      <c r="AU36" s="100"/>
      <c r="AV36" s="100"/>
      <c r="AW36" s="100"/>
      <c r="AX36" s="100"/>
      <c r="AY36" s="99">
        <f>IR36*AL36+IS36*AL36</f>
        <v>0</v>
      </c>
      <c r="AZ36" s="100"/>
      <c r="BA36" s="100"/>
      <c r="BB36" s="100"/>
      <c r="BC36" s="100"/>
      <c r="BD36" s="100"/>
      <c r="BE36" s="100"/>
      <c r="BF36" s="100"/>
      <c r="BG36" s="99">
        <f>'Stavební rozpočet'!K39</f>
        <v>0</v>
      </c>
      <c r="BH36" s="100"/>
      <c r="BI36" s="100"/>
      <c r="BJ36" s="100"/>
      <c r="BK36" s="100"/>
      <c r="BL36" s="100"/>
      <c r="BM36" s="100"/>
      <c r="BN36" s="100"/>
      <c r="BO36" s="99">
        <f>BG36*AL36</f>
        <v>0</v>
      </c>
      <c r="BP36" s="100"/>
      <c r="BQ36" s="100"/>
      <c r="BR36" s="100"/>
      <c r="BS36" s="100"/>
      <c r="BT36" s="100"/>
      <c r="BU36" s="100"/>
      <c r="BV36" s="100"/>
      <c r="IR36" s="39">
        <f>AQ36*0</f>
        <v>0</v>
      </c>
      <c r="IS36" s="39">
        <f>AQ36*(1-0)</f>
        <v>0</v>
      </c>
    </row>
    <row r="37" spans="1:74" ht="12.75">
      <c r="A37" s="101" t="s">
        <v>6</v>
      </c>
      <c r="B37" s="102"/>
      <c r="C37" s="101" t="s">
        <v>22</v>
      </c>
      <c r="D37" s="102"/>
      <c r="E37" s="102"/>
      <c r="F37" s="102"/>
      <c r="G37" s="102"/>
      <c r="H37" s="102"/>
      <c r="I37" s="101" t="s">
        <v>282</v>
      </c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1" t="s">
        <v>6</v>
      </c>
      <c r="AK37" s="102"/>
      <c r="AL37" s="103" t="s">
        <v>6</v>
      </c>
      <c r="AM37" s="104"/>
      <c r="AN37" s="104"/>
      <c r="AO37" s="104"/>
      <c r="AP37" s="104"/>
      <c r="AQ37" s="103" t="s">
        <v>6</v>
      </c>
      <c r="AR37" s="104"/>
      <c r="AS37" s="104"/>
      <c r="AT37" s="104"/>
      <c r="AU37" s="104"/>
      <c r="AV37" s="104"/>
      <c r="AW37" s="104"/>
      <c r="AX37" s="104"/>
      <c r="AY37" s="105">
        <f>SUM(AY38:AY41)</f>
        <v>0</v>
      </c>
      <c r="AZ37" s="104"/>
      <c r="BA37" s="104"/>
      <c r="BB37" s="104"/>
      <c r="BC37" s="104"/>
      <c r="BD37" s="104"/>
      <c r="BE37" s="104"/>
      <c r="BF37" s="104"/>
      <c r="BG37" s="103" t="s">
        <v>6</v>
      </c>
      <c r="BH37" s="104"/>
      <c r="BI37" s="104"/>
      <c r="BJ37" s="104"/>
      <c r="BK37" s="104"/>
      <c r="BL37" s="104"/>
      <c r="BM37" s="104"/>
      <c r="BN37" s="104"/>
      <c r="BO37" s="105">
        <f>SUM(BO38:BO41)</f>
        <v>0</v>
      </c>
      <c r="BP37" s="104"/>
      <c r="BQ37" s="104"/>
      <c r="BR37" s="104"/>
      <c r="BS37" s="104"/>
      <c r="BT37" s="104"/>
      <c r="BU37" s="104"/>
      <c r="BV37" s="104"/>
    </row>
    <row r="38" spans="1:253" ht="12.75">
      <c r="A38" s="97" t="s">
        <v>29</v>
      </c>
      <c r="B38" s="98"/>
      <c r="C38" s="97" t="s">
        <v>148</v>
      </c>
      <c r="D38" s="98"/>
      <c r="E38" s="98"/>
      <c r="F38" s="98"/>
      <c r="G38" s="98"/>
      <c r="H38" s="98"/>
      <c r="I38" s="97" t="s">
        <v>283</v>
      </c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7" t="s">
        <v>446</v>
      </c>
      <c r="AK38" s="98"/>
      <c r="AL38" s="99">
        <f>'Stavební rozpočet'!F41</f>
        <v>587.74</v>
      </c>
      <c r="AM38" s="100"/>
      <c r="AN38" s="100"/>
      <c r="AO38" s="100"/>
      <c r="AP38" s="100"/>
      <c r="AQ38" s="99">
        <f>'Stavební rozpočet'!G41</f>
        <v>0</v>
      </c>
      <c r="AR38" s="100"/>
      <c r="AS38" s="100"/>
      <c r="AT38" s="100"/>
      <c r="AU38" s="100"/>
      <c r="AV38" s="100"/>
      <c r="AW38" s="100"/>
      <c r="AX38" s="100"/>
      <c r="AY38" s="99">
        <f>IR38*AL38+IS38*AL38</f>
        <v>0</v>
      </c>
      <c r="AZ38" s="100"/>
      <c r="BA38" s="100"/>
      <c r="BB38" s="100"/>
      <c r="BC38" s="100"/>
      <c r="BD38" s="100"/>
      <c r="BE38" s="100"/>
      <c r="BF38" s="100"/>
      <c r="BG38" s="99">
        <f>'Stavební rozpočet'!K41</f>
        <v>0</v>
      </c>
      <c r="BH38" s="100"/>
      <c r="BI38" s="100"/>
      <c r="BJ38" s="100"/>
      <c r="BK38" s="100"/>
      <c r="BL38" s="100"/>
      <c r="BM38" s="100"/>
      <c r="BN38" s="100"/>
      <c r="BO38" s="99">
        <f>BG38*AL38</f>
        <v>0</v>
      </c>
      <c r="BP38" s="100"/>
      <c r="BQ38" s="100"/>
      <c r="BR38" s="100"/>
      <c r="BS38" s="100"/>
      <c r="BT38" s="100"/>
      <c r="BU38" s="100"/>
      <c r="BV38" s="100"/>
      <c r="IR38" s="39">
        <f>AQ38*0</f>
        <v>0</v>
      </c>
      <c r="IS38" s="39">
        <f>AQ38*(1-0)</f>
        <v>0</v>
      </c>
    </row>
    <row r="39" spans="1:253" ht="12.75">
      <c r="A39" s="97" t="s">
        <v>30</v>
      </c>
      <c r="B39" s="98"/>
      <c r="C39" s="97" t="s">
        <v>148</v>
      </c>
      <c r="D39" s="98"/>
      <c r="E39" s="98"/>
      <c r="F39" s="98"/>
      <c r="G39" s="98"/>
      <c r="H39" s="98"/>
      <c r="I39" s="97" t="s">
        <v>283</v>
      </c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7" t="s">
        <v>446</v>
      </c>
      <c r="AK39" s="98"/>
      <c r="AL39" s="99">
        <f>'Stavební rozpočet'!F43</f>
        <v>54.58</v>
      </c>
      <c r="AM39" s="100"/>
      <c r="AN39" s="100"/>
      <c r="AO39" s="100"/>
      <c r="AP39" s="100"/>
      <c r="AQ39" s="99">
        <f>'Stavební rozpočet'!G43</f>
        <v>0</v>
      </c>
      <c r="AR39" s="100"/>
      <c r="AS39" s="100"/>
      <c r="AT39" s="100"/>
      <c r="AU39" s="100"/>
      <c r="AV39" s="100"/>
      <c r="AW39" s="100"/>
      <c r="AX39" s="100"/>
      <c r="AY39" s="99">
        <f>IR39*AL39+IS39*AL39</f>
        <v>0</v>
      </c>
      <c r="AZ39" s="100"/>
      <c r="BA39" s="100"/>
      <c r="BB39" s="100"/>
      <c r="BC39" s="100"/>
      <c r="BD39" s="100"/>
      <c r="BE39" s="100"/>
      <c r="BF39" s="100"/>
      <c r="BG39" s="99">
        <f>'Stavební rozpočet'!K43</f>
        <v>0</v>
      </c>
      <c r="BH39" s="100"/>
      <c r="BI39" s="100"/>
      <c r="BJ39" s="100"/>
      <c r="BK39" s="100"/>
      <c r="BL39" s="100"/>
      <c r="BM39" s="100"/>
      <c r="BN39" s="100"/>
      <c r="BO39" s="99">
        <f>BG39*AL39</f>
        <v>0</v>
      </c>
      <c r="BP39" s="100"/>
      <c r="BQ39" s="100"/>
      <c r="BR39" s="100"/>
      <c r="BS39" s="100"/>
      <c r="BT39" s="100"/>
      <c r="BU39" s="100"/>
      <c r="BV39" s="100"/>
      <c r="IR39" s="39">
        <f>AQ39*0</f>
        <v>0</v>
      </c>
      <c r="IS39" s="39">
        <f>AQ39*(1-0)</f>
        <v>0</v>
      </c>
    </row>
    <row r="40" spans="1:253" ht="12.75">
      <c r="A40" s="97" t="s">
        <v>31</v>
      </c>
      <c r="B40" s="98"/>
      <c r="C40" s="97" t="s">
        <v>149</v>
      </c>
      <c r="D40" s="98"/>
      <c r="E40" s="98"/>
      <c r="F40" s="98"/>
      <c r="G40" s="98"/>
      <c r="H40" s="98"/>
      <c r="I40" s="97" t="s">
        <v>285</v>
      </c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7" t="s">
        <v>446</v>
      </c>
      <c r="AK40" s="98"/>
      <c r="AL40" s="99">
        <f>'Stavební rozpočet'!F44</f>
        <v>587.74</v>
      </c>
      <c r="AM40" s="100"/>
      <c r="AN40" s="100"/>
      <c r="AO40" s="100"/>
      <c r="AP40" s="100"/>
      <c r="AQ40" s="99">
        <f>'Stavební rozpočet'!G44</f>
        <v>0</v>
      </c>
      <c r="AR40" s="100"/>
      <c r="AS40" s="100"/>
      <c r="AT40" s="100"/>
      <c r="AU40" s="100"/>
      <c r="AV40" s="100"/>
      <c r="AW40" s="100"/>
      <c r="AX40" s="100"/>
      <c r="AY40" s="99">
        <f>IR40*AL40+IS40*AL40</f>
        <v>0</v>
      </c>
      <c r="AZ40" s="100"/>
      <c r="BA40" s="100"/>
      <c r="BB40" s="100"/>
      <c r="BC40" s="100"/>
      <c r="BD40" s="100"/>
      <c r="BE40" s="100"/>
      <c r="BF40" s="100"/>
      <c r="BG40" s="99">
        <f>'Stavební rozpočet'!K44</f>
        <v>0</v>
      </c>
      <c r="BH40" s="100"/>
      <c r="BI40" s="100"/>
      <c r="BJ40" s="100"/>
      <c r="BK40" s="100"/>
      <c r="BL40" s="100"/>
      <c r="BM40" s="100"/>
      <c r="BN40" s="100"/>
      <c r="BO40" s="99">
        <f>BG40*AL40</f>
        <v>0</v>
      </c>
      <c r="BP40" s="100"/>
      <c r="BQ40" s="100"/>
      <c r="BR40" s="100"/>
      <c r="BS40" s="100"/>
      <c r="BT40" s="100"/>
      <c r="BU40" s="100"/>
      <c r="BV40" s="100"/>
      <c r="IR40" s="39">
        <f>AQ40*0</f>
        <v>0</v>
      </c>
      <c r="IS40" s="39">
        <f>AQ40*(1-0)</f>
        <v>0</v>
      </c>
    </row>
    <row r="41" spans="1:253" ht="12.75">
      <c r="A41" s="97" t="s">
        <v>32</v>
      </c>
      <c r="B41" s="98"/>
      <c r="C41" s="97" t="s">
        <v>150</v>
      </c>
      <c r="D41" s="98"/>
      <c r="E41" s="98"/>
      <c r="F41" s="98"/>
      <c r="G41" s="98"/>
      <c r="H41" s="98"/>
      <c r="I41" s="97" t="s">
        <v>286</v>
      </c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7" t="s">
        <v>446</v>
      </c>
      <c r="AK41" s="98"/>
      <c r="AL41" s="99">
        <f>'Stavební rozpočet'!F45</f>
        <v>31.2</v>
      </c>
      <c r="AM41" s="100"/>
      <c r="AN41" s="100"/>
      <c r="AO41" s="100"/>
      <c r="AP41" s="100"/>
      <c r="AQ41" s="99">
        <f>'Stavební rozpočet'!G45</f>
        <v>0</v>
      </c>
      <c r="AR41" s="100"/>
      <c r="AS41" s="100"/>
      <c r="AT41" s="100"/>
      <c r="AU41" s="100"/>
      <c r="AV41" s="100"/>
      <c r="AW41" s="100"/>
      <c r="AX41" s="100"/>
      <c r="AY41" s="99">
        <f>IR41*AL41+IS41*AL41</f>
        <v>0</v>
      </c>
      <c r="AZ41" s="100"/>
      <c r="BA41" s="100"/>
      <c r="BB41" s="100"/>
      <c r="BC41" s="100"/>
      <c r="BD41" s="100"/>
      <c r="BE41" s="100"/>
      <c r="BF41" s="100"/>
      <c r="BG41" s="99">
        <f>'Stavební rozpočet'!K45</f>
        <v>0</v>
      </c>
      <c r="BH41" s="100"/>
      <c r="BI41" s="100"/>
      <c r="BJ41" s="100"/>
      <c r="BK41" s="100"/>
      <c r="BL41" s="100"/>
      <c r="BM41" s="100"/>
      <c r="BN41" s="100"/>
      <c r="BO41" s="99">
        <f>BG41*AL41</f>
        <v>0</v>
      </c>
      <c r="BP41" s="100"/>
      <c r="BQ41" s="100"/>
      <c r="BR41" s="100"/>
      <c r="BS41" s="100"/>
      <c r="BT41" s="100"/>
      <c r="BU41" s="100"/>
      <c r="BV41" s="100"/>
      <c r="IR41" s="39">
        <f>AQ41*0</f>
        <v>0</v>
      </c>
      <c r="IS41" s="39">
        <f>AQ41*(1-0)</f>
        <v>0</v>
      </c>
    </row>
    <row r="42" spans="1:74" ht="12.75">
      <c r="A42" s="101" t="s">
        <v>6</v>
      </c>
      <c r="B42" s="102"/>
      <c r="C42" s="101" t="s">
        <v>23</v>
      </c>
      <c r="D42" s="102"/>
      <c r="E42" s="102"/>
      <c r="F42" s="102"/>
      <c r="G42" s="102"/>
      <c r="H42" s="102"/>
      <c r="I42" s="101" t="s">
        <v>288</v>
      </c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1" t="s">
        <v>6</v>
      </c>
      <c r="AK42" s="102"/>
      <c r="AL42" s="103" t="s">
        <v>6</v>
      </c>
      <c r="AM42" s="104"/>
      <c r="AN42" s="104"/>
      <c r="AO42" s="104"/>
      <c r="AP42" s="104"/>
      <c r="AQ42" s="103" t="s">
        <v>6</v>
      </c>
      <c r="AR42" s="104"/>
      <c r="AS42" s="104"/>
      <c r="AT42" s="104"/>
      <c r="AU42" s="104"/>
      <c r="AV42" s="104"/>
      <c r="AW42" s="104"/>
      <c r="AX42" s="104"/>
      <c r="AY42" s="105">
        <f>SUM(AY43:AY45)</f>
        <v>0</v>
      </c>
      <c r="AZ42" s="104"/>
      <c r="BA42" s="104"/>
      <c r="BB42" s="104"/>
      <c r="BC42" s="104"/>
      <c r="BD42" s="104"/>
      <c r="BE42" s="104"/>
      <c r="BF42" s="104"/>
      <c r="BG42" s="103" t="s">
        <v>6</v>
      </c>
      <c r="BH42" s="104"/>
      <c r="BI42" s="104"/>
      <c r="BJ42" s="104"/>
      <c r="BK42" s="104"/>
      <c r="BL42" s="104"/>
      <c r="BM42" s="104"/>
      <c r="BN42" s="104"/>
      <c r="BO42" s="105">
        <f>SUM(BO43:BO45)</f>
        <v>414.222</v>
      </c>
      <c r="BP42" s="104"/>
      <c r="BQ42" s="104"/>
      <c r="BR42" s="104"/>
      <c r="BS42" s="104"/>
      <c r="BT42" s="104"/>
      <c r="BU42" s="104"/>
      <c r="BV42" s="104"/>
    </row>
    <row r="43" spans="1:253" ht="12.75">
      <c r="A43" s="97" t="s">
        <v>33</v>
      </c>
      <c r="B43" s="98"/>
      <c r="C43" s="97" t="s">
        <v>151</v>
      </c>
      <c r="D43" s="98"/>
      <c r="E43" s="98"/>
      <c r="F43" s="98"/>
      <c r="G43" s="98"/>
      <c r="H43" s="98"/>
      <c r="I43" s="97" t="s">
        <v>289</v>
      </c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7" t="s">
        <v>446</v>
      </c>
      <c r="AK43" s="98"/>
      <c r="AL43" s="99">
        <f>'Stavební rozpočet'!F48</f>
        <v>587.74</v>
      </c>
      <c r="AM43" s="100"/>
      <c r="AN43" s="100"/>
      <c r="AO43" s="100"/>
      <c r="AP43" s="100"/>
      <c r="AQ43" s="99">
        <f>'Stavební rozpočet'!G48</f>
        <v>0</v>
      </c>
      <c r="AR43" s="100"/>
      <c r="AS43" s="100"/>
      <c r="AT43" s="100"/>
      <c r="AU43" s="100"/>
      <c r="AV43" s="100"/>
      <c r="AW43" s="100"/>
      <c r="AX43" s="100"/>
      <c r="AY43" s="99">
        <f>IR43*AL43+IS43*AL43</f>
        <v>0</v>
      </c>
      <c r="AZ43" s="100"/>
      <c r="BA43" s="100"/>
      <c r="BB43" s="100"/>
      <c r="BC43" s="100"/>
      <c r="BD43" s="100"/>
      <c r="BE43" s="100"/>
      <c r="BF43" s="100"/>
      <c r="BG43" s="99">
        <f>'Stavební rozpočet'!K48</f>
        <v>0</v>
      </c>
      <c r="BH43" s="100"/>
      <c r="BI43" s="100"/>
      <c r="BJ43" s="100"/>
      <c r="BK43" s="100"/>
      <c r="BL43" s="100"/>
      <c r="BM43" s="100"/>
      <c r="BN43" s="100"/>
      <c r="BO43" s="99">
        <f>BG43*AL43</f>
        <v>0</v>
      </c>
      <c r="BP43" s="100"/>
      <c r="BQ43" s="100"/>
      <c r="BR43" s="100"/>
      <c r="BS43" s="100"/>
      <c r="BT43" s="100"/>
      <c r="BU43" s="100"/>
      <c r="BV43" s="100"/>
      <c r="IR43" s="39">
        <f>AQ43*0</f>
        <v>0</v>
      </c>
      <c r="IS43" s="39">
        <f>AQ43*(1-0)</f>
        <v>0</v>
      </c>
    </row>
    <row r="44" spans="1:253" ht="12.75">
      <c r="A44" s="97" t="s">
        <v>34</v>
      </c>
      <c r="B44" s="98"/>
      <c r="C44" s="97" t="s">
        <v>152</v>
      </c>
      <c r="D44" s="98"/>
      <c r="E44" s="98"/>
      <c r="F44" s="98"/>
      <c r="G44" s="98"/>
      <c r="H44" s="98"/>
      <c r="I44" s="97" t="s">
        <v>291</v>
      </c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7" t="s">
        <v>446</v>
      </c>
      <c r="AK44" s="98"/>
      <c r="AL44" s="99">
        <f>'Stavební rozpočet'!F50</f>
        <v>641.89</v>
      </c>
      <c r="AM44" s="100"/>
      <c r="AN44" s="100"/>
      <c r="AO44" s="100"/>
      <c r="AP44" s="100"/>
      <c r="AQ44" s="99">
        <f>'Stavební rozpočet'!G50</f>
        <v>0</v>
      </c>
      <c r="AR44" s="100"/>
      <c r="AS44" s="100"/>
      <c r="AT44" s="100"/>
      <c r="AU44" s="100"/>
      <c r="AV44" s="100"/>
      <c r="AW44" s="100"/>
      <c r="AX44" s="100"/>
      <c r="AY44" s="99">
        <f>IR44*AL44+IS44*AL44</f>
        <v>0</v>
      </c>
      <c r="AZ44" s="100"/>
      <c r="BA44" s="100"/>
      <c r="BB44" s="100"/>
      <c r="BC44" s="100"/>
      <c r="BD44" s="100"/>
      <c r="BE44" s="100"/>
      <c r="BF44" s="100"/>
      <c r="BG44" s="99">
        <f>'Stavební rozpočet'!K50</f>
        <v>0</v>
      </c>
      <c r="BH44" s="100"/>
      <c r="BI44" s="100"/>
      <c r="BJ44" s="100"/>
      <c r="BK44" s="100"/>
      <c r="BL44" s="100"/>
      <c r="BM44" s="100"/>
      <c r="BN44" s="100"/>
      <c r="BO44" s="99">
        <f>BG44*AL44</f>
        <v>0</v>
      </c>
      <c r="BP44" s="100"/>
      <c r="BQ44" s="100"/>
      <c r="BR44" s="100"/>
      <c r="BS44" s="100"/>
      <c r="BT44" s="100"/>
      <c r="BU44" s="100"/>
      <c r="BV44" s="100"/>
      <c r="IR44" s="39">
        <f>AQ44*0</f>
        <v>0</v>
      </c>
      <c r="IS44" s="39">
        <f>AQ44*(1-0)</f>
        <v>0</v>
      </c>
    </row>
    <row r="45" spans="1:253" ht="12.75">
      <c r="A45" s="97" t="s">
        <v>35</v>
      </c>
      <c r="B45" s="98"/>
      <c r="C45" s="97" t="s">
        <v>153</v>
      </c>
      <c r="D45" s="98"/>
      <c r="E45" s="98"/>
      <c r="F45" s="98"/>
      <c r="G45" s="98"/>
      <c r="H45" s="98"/>
      <c r="I45" s="97" t="s">
        <v>292</v>
      </c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7" t="s">
        <v>446</v>
      </c>
      <c r="AK45" s="98"/>
      <c r="AL45" s="99">
        <f>'Stavební rozpočet'!F51</f>
        <v>243.66</v>
      </c>
      <c r="AM45" s="100"/>
      <c r="AN45" s="100"/>
      <c r="AO45" s="100"/>
      <c r="AP45" s="100"/>
      <c r="AQ45" s="99">
        <f>'Stavební rozpočet'!G51</f>
        <v>0</v>
      </c>
      <c r="AR45" s="100"/>
      <c r="AS45" s="100"/>
      <c r="AT45" s="100"/>
      <c r="AU45" s="100"/>
      <c r="AV45" s="100"/>
      <c r="AW45" s="100"/>
      <c r="AX45" s="100"/>
      <c r="AY45" s="99">
        <f>IR45*AL45+IS45*AL45</f>
        <v>0</v>
      </c>
      <c r="AZ45" s="100"/>
      <c r="BA45" s="100"/>
      <c r="BB45" s="100"/>
      <c r="BC45" s="100"/>
      <c r="BD45" s="100"/>
      <c r="BE45" s="100"/>
      <c r="BF45" s="100"/>
      <c r="BG45" s="99">
        <f>'Stavební rozpočet'!K51</f>
        <v>1.7</v>
      </c>
      <c r="BH45" s="100"/>
      <c r="BI45" s="100"/>
      <c r="BJ45" s="100"/>
      <c r="BK45" s="100"/>
      <c r="BL45" s="100"/>
      <c r="BM45" s="100"/>
      <c r="BN45" s="100"/>
      <c r="BO45" s="99">
        <f>BG45*AL45</f>
        <v>414.222</v>
      </c>
      <c r="BP45" s="100"/>
      <c r="BQ45" s="100"/>
      <c r="BR45" s="100"/>
      <c r="BS45" s="100"/>
      <c r="BT45" s="100"/>
      <c r="BU45" s="100"/>
      <c r="BV45" s="100"/>
      <c r="IR45" s="39">
        <f>AQ45*0.493144795745755</f>
        <v>0</v>
      </c>
      <c r="IS45" s="39">
        <f>AQ45*(1-0.493144795745755)</f>
        <v>0</v>
      </c>
    </row>
    <row r="46" spans="1:74" ht="12.75">
      <c r="A46" s="101" t="s">
        <v>6</v>
      </c>
      <c r="B46" s="102"/>
      <c r="C46" s="101" t="s">
        <v>24</v>
      </c>
      <c r="D46" s="102"/>
      <c r="E46" s="102"/>
      <c r="F46" s="102"/>
      <c r="G46" s="102"/>
      <c r="H46" s="102"/>
      <c r="I46" s="101" t="s">
        <v>294</v>
      </c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1" t="s">
        <v>6</v>
      </c>
      <c r="AK46" s="102"/>
      <c r="AL46" s="103" t="s">
        <v>6</v>
      </c>
      <c r="AM46" s="104"/>
      <c r="AN46" s="104"/>
      <c r="AO46" s="104"/>
      <c r="AP46" s="104"/>
      <c r="AQ46" s="103" t="s">
        <v>6</v>
      </c>
      <c r="AR46" s="104"/>
      <c r="AS46" s="104"/>
      <c r="AT46" s="104"/>
      <c r="AU46" s="104"/>
      <c r="AV46" s="104"/>
      <c r="AW46" s="104"/>
      <c r="AX46" s="104"/>
      <c r="AY46" s="105">
        <f>SUM(AY47:AY49)</f>
        <v>0</v>
      </c>
      <c r="AZ46" s="104"/>
      <c r="BA46" s="104"/>
      <c r="BB46" s="104"/>
      <c r="BC46" s="104"/>
      <c r="BD46" s="104"/>
      <c r="BE46" s="104"/>
      <c r="BF46" s="104"/>
      <c r="BG46" s="103" t="s">
        <v>6</v>
      </c>
      <c r="BH46" s="104"/>
      <c r="BI46" s="104"/>
      <c r="BJ46" s="104"/>
      <c r="BK46" s="104"/>
      <c r="BL46" s="104"/>
      <c r="BM46" s="104"/>
      <c r="BN46" s="104"/>
      <c r="BO46" s="105">
        <f>SUM(BO47:BO49)</f>
        <v>0.03927</v>
      </c>
      <c r="BP46" s="104"/>
      <c r="BQ46" s="104"/>
      <c r="BR46" s="104"/>
      <c r="BS46" s="104"/>
      <c r="BT46" s="104"/>
      <c r="BU46" s="104"/>
      <c r="BV46" s="104"/>
    </row>
    <row r="47" spans="1:253" ht="12.75">
      <c r="A47" s="97" t="s">
        <v>36</v>
      </c>
      <c r="B47" s="98"/>
      <c r="C47" s="97" t="s">
        <v>154</v>
      </c>
      <c r="D47" s="98"/>
      <c r="E47" s="98"/>
      <c r="F47" s="98"/>
      <c r="G47" s="98"/>
      <c r="H47" s="98"/>
      <c r="I47" s="97" t="s">
        <v>295</v>
      </c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7" t="s">
        <v>442</v>
      </c>
      <c r="AK47" s="98"/>
      <c r="AL47" s="99">
        <f>'Stavební rozpočet'!F54</f>
        <v>1309</v>
      </c>
      <c r="AM47" s="100"/>
      <c r="AN47" s="100"/>
      <c r="AO47" s="100"/>
      <c r="AP47" s="100"/>
      <c r="AQ47" s="99">
        <f>'Stavební rozpočet'!G54</f>
        <v>0</v>
      </c>
      <c r="AR47" s="100"/>
      <c r="AS47" s="100"/>
      <c r="AT47" s="100"/>
      <c r="AU47" s="100"/>
      <c r="AV47" s="100"/>
      <c r="AW47" s="100"/>
      <c r="AX47" s="100"/>
      <c r="AY47" s="99">
        <f>IR47*AL47+IS47*AL47</f>
        <v>0</v>
      </c>
      <c r="AZ47" s="100"/>
      <c r="BA47" s="100"/>
      <c r="BB47" s="100"/>
      <c r="BC47" s="100"/>
      <c r="BD47" s="100"/>
      <c r="BE47" s="100"/>
      <c r="BF47" s="100"/>
      <c r="BG47" s="99">
        <f>'Stavební rozpočet'!K54</f>
        <v>0</v>
      </c>
      <c r="BH47" s="100"/>
      <c r="BI47" s="100"/>
      <c r="BJ47" s="100"/>
      <c r="BK47" s="100"/>
      <c r="BL47" s="100"/>
      <c r="BM47" s="100"/>
      <c r="BN47" s="100"/>
      <c r="BO47" s="99">
        <f>BG47*AL47</f>
        <v>0</v>
      </c>
      <c r="BP47" s="100"/>
      <c r="BQ47" s="100"/>
      <c r="BR47" s="100"/>
      <c r="BS47" s="100"/>
      <c r="BT47" s="100"/>
      <c r="BU47" s="100"/>
      <c r="BV47" s="100"/>
      <c r="IR47" s="39">
        <f>AQ47*0.0721045515998197</f>
        <v>0</v>
      </c>
      <c r="IS47" s="39">
        <f>AQ47*(1-0.0721045515998197)</f>
        <v>0</v>
      </c>
    </row>
    <row r="48" spans="1:253" ht="12.75">
      <c r="A48" s="97" t="s">
        <v>37</v>
      </c>
      <c r="B48" s="98"/>
      <c r="C48" s="97" t="s">
        <v>155</v>
      </c>
      <c r="D48" s="98"/>
      <c r="E48" s="98"/>
      <c r="F48" s="98"/>
      <c r="G48" s="98"/>
      <c r="H48" s="98"/>
      <c r="I48" s="97" t="s">
        <v>296</v>
      </c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7" t="s">
        <v>442</v>
      </c>
      <c r="AK48" s="98"/>
      <c r="AL48" s="99">
        <f>'Stavební rozpočet'!F55</f>
        <v>1309</v>
      </c>
      <c r="AM48" s="100"/>
      <c r="AN48" s="100"/>
      <c r="AO48" s="100"/>
      <c r="AP48" s="100"/>
      <c r="AQ48" s="99">
        <f>'Stavební rozpočet'!G55</f>
        <v>0</v>
      </c>
      <c r="AR48" s="100"/>
      <c r="AS48" s="100"/>
      <c r="AT48" s="100"/>
      <c r="AU48" s="100"/>
      <c r="AV48" s="100"/>
      <c r="AW48" s="100"/>
      <c r="AX48" s="100"/>
      <c r="AY48" s="99">
        <f>IR48*AL48+IS48*AL48</f>
        <v>0</v>
      </c>
      <c r="AZ48" s="100"/>
      <c r="BA48" s="100"/>
      <c r="BB48" s="100"/>
      <c r="BC48" s="100"/>
      <c r="BD48" s="100"/>
      <c r="BE48" s="100"/>
      <c r="BF48" s="100"/>
      <c r="BG48" s="99">
        <f>'Stavební rozpočet'!K55</f>
        <v>0</v>
      </c>
      <c r="BH48" s="100"/>
      <c r="BI48" s="100"/>
      <c r="BJ48" s="100"/>
      <c r="BK48" s="100"/>
      <c r="BL48" s="100"/>
      <c r="BM48" s="100"/>
      <c r="BN48" s="100"/>
      <c r="BO48" s="99">
        <f>BG48*AL48</f>
        <v>0</v>
      </c>
      <c r="BP48" s="100"/>
      <c r="BQ48" s="100"/>
      <c r="BR48" s="100"/>
      <c r="BS48" s="100"/>
      <c r="BT48" s="100"/>
      <c r="BU48" s="100"/>
      <c r="BV48" s="100"/>
      <c r="IR48" s="39">
        <f>AQ48*0</f>
        <v>0</v>
      </c>
      <c r="IS48" s="39">
        <f>AQ48*(1-0)</f>
        <v>0</v>
      </c>
    </row>
    <row r="49" spans="1:253" ht="12.75">
      <c r="A49" s="97" t="s">
        <v>38</v>
      </c>
      <c r="B49" s="98"/>
      <c r="C49" s="97" t="s">
        <v>156</v>
      </c>
      <c r="D49" s="98"/>
      <c r="E49" s="98"/>
      <c r="F49" s="98"/>
      <c r="G49" s="98"/>
      <c r="H49" s="98"/>
      <c r="I49" s="97" t="s">
        <v>297</v>
      </c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7" t="s">
        <v>442</v>
      </c>
      <c r="AK49" s="98"/>
      <c r="AL49" s="99">
        <f>'Stavební rozpočet'!F56</f>
        <v>1309</v>
      </c>
      <c r="AM49" s="100"/>
      <c r="AN49" s="100"/>
      <c r="AO49" s="100"/>
      <c r="AP49" s="100"/>
      <c r="AQ49" s="99">
        <f>'Stavební rozpočet'!G56</f>
        <v>0</v>
      </c>
      <c r="AR49" s="100"/>
      <c r="AS49" s="100"/>
      <c r="AT49" s="100"/>
      <c r="AU49" s="100"/>
      <c r="AV49" s="100"/>
      <c r="AW49" s="100"/>
      <c r="AX49" s="100"/>
      <c r="AY49" s="99">
        <f>IR49*AL49+IS49*AL49</f>
        <v>0</v>
      </c>
      <c r="AZ49" s="100"/>
      <c r="BA49" s="100"/>
      <c r="BB49" s="100"/>
      <c r="BC49" s="100"/>
      <c r="BD49" s="100"/>
      <c r="BE49" s="100"/>
      <c r="BF49" s="100"/>
      <c r="BG49" s="99">
        <f>'Stavební rozpočet'!K56</f>
        <v>3E-05</v>
      </c>
      <c r="BH49" s="100"/>
      <c r="BI49" s="100"/>
      <c r="BJ49" s="100"/>
      <c r="BK49" s="100"/>
      <c r="BL49" s="100"/>
      <c r="BM49" s="100"/>
      <c r="BN49" s="100"/>
      <c r="BO49" s="99">
        <f>BG49*AL49</f>
        <v>0.03927</v>
      </c>
      <c r="BP49" s="100"/>
      <c r="BQ49" s="100"/>
      <c r="BR49" s="100"/>
      <c r="BS49" s="100"/>
      <c r="BT49" s="100"/>
      <c r="BU49" s="100"/>
      <c r="BV49" s="100"/>
      <c r="IR49" s="39">
        <f>AQ49*0.0462595823420566</f>
        <v>0</v>
      </c>
      <c r="IS49" s="39">
        <f>AQ49*(1-0.0462595823420566)</f>
        <v>0</v>
      </c>
    </row>
    <row r="50" spans="1:74" ht="12.75">
      <c r="A50" s="101" t="s">
        <v>6</v>
      </c>
      <c r="B50" s="102"/>
      <c r="C50" s="101" t="s">
        <v>33</v>
      </c>
      <c r="D50" s="102"/>
      <c r="E50" s="102"/>
      <c r="F50" s="102"/>
      <c r="G50" s="102"/>
      <c r="H50" s="102"/>
      <c r="I50" s="101" t="s">
        <v>299</v>
      </c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1" t="s">
        <v>6</v>
      </c>
      <c r="AK50" s="102"/>
      <c r="AL50" s="103" t="s">
        <v>6</v>
      </c>
      <c r="AM50" s="104"/>
      <c r="AN50" s="104"/>
      <c r="AO50" s="104"/>
      <c r="AP50" s="104"/>
      <c r="AQ50" s="103" t="s">
        <v>6</v>
      </c>
      <c r="AR50" s="104"/>
      <c r="AS50" s="104"/>
      <c r="AT50" s="104"/>
      <c r="AU50" s="104"/>
      <c r="AV50" s="104"/>
      <c r="AW50" s="104"/>
      <c r="AX50" s="104"/>
      <c r="AY50" s="105">
        <f>SUM(AY51:AY52)</f>
        <v>0</v>
      </c>
      <c r="AZ50" s="104"/>
      <c r="BA50" s="104"/>
      <c r="BB50" s="104"/>
      <c r="BC50" s="104"/>
      <c r="BD50" s="104"/>
      <c r="BE50" s="104"/>
      <c r="BF50" s="104"/>
      <c r="BG50" s="103" t="s">
        <v>6</v>
      </c>
      <c r="BH50" s="104"/>
      <c r="BI50" s="104"/>
      <c r="BJ50" s="104"/>
      <c r="BK50" s="104"/>
      <c r="BL50" s="104"/>
      <c r="BM50" s="104"/>
      <c r="BN50" s="104"/>
      <c r="BO50" s="105">
        <f>SUM(BO51:BO52)</f>
        <v>11.834094</v>
      </c>
      <c r="BP50" s="104"/>
      <c r="BQ50" s="104"/>
      <c r="BR50" s="104"/>
      <c r="BS50" s="104"/>
      <c r="BT50" s="104"/>
      <c r="BU50" s="104"/>
      <c r="BV50" s="104"/>
    </row>
    <row r="51" spans="1:253" ht="12.75">
      <c r="A51" s="97" t="s">
        <v>39</v>
      </c>
      <c r="B51" s="98"/>
      <c r="C51" s="97" t="s">
        <v>157</v>
      </c>
      <c r="D51" s="98"/>
      <c r="E51" s="98"/>
      <c r="F51" s="98"/>
      <c r="G51" s="98"/>
      <c r="H51" s="98"/>
      <c r="I51" s="97" t="s">
        <v>300</v>
      </c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7" t="s">
        <v>442</v>
      </c>
      <c r="AK51" s="98"/>
      <c r="AL51" s="99">
        <f>'Stavební rozpočet'!F59</f>
        <v>21.6</v>
      </c>
      <c r="AM51" s="100"/>
      <c r="AN51" s="100"/>
      <c r="AO51" s="100"/>
      <c r="AP51" s="100"/>
      <c r="AQ51" s="99">
        <f>'Stavební rozpočet'!G59</f>
        <v>0</v>
      </c>
      <c r="AR51" s="100"/>
      <c r="AS51" s="100"/>
      <c r="AT51" s="100"/>
      <c r="AU51" s="100"/>
      <c r="AV51" s="100"/>
      <c r="AW51" s="100"/>
      <c r="AX51" s="100"/>
      <c r="AY51" s="99">
        <f>IR51*AL51+IS51*AL51</f>
        <v>0</v>
      </c>
      <c r="AZ51" s="100"/>
      <c r="BA51" s="100"/>
      <c r="BB51" s="100"/>
      <c r="BC51" s="100"/>
      <c r="BD51" s="100"/>
      <c r="BE51" s="100"/>
      <c r="BF51" s="100"/>
      <c r="BG51" s="99">
        <f>'Stavební rozpočet'!K59</f>
        <v>0.52</v>
      </c>
      <c r="BH51" s="100"/>
      <c r="BI51" s="100"/>
      <c r="BJ51" s="100"/>
      <c r="BK51" s="100"/>
      <c r="BL51" s="100"/>
      <c r="BM51" s="100"/>
      <c r="BN51" s="100"/>
      <c r="BO51" s="99">
        <f>BG51*AL51</f>
        <v>11.232000000000001</v>
      </c>
      <c r="BP51" s="100"/>
      <c r="BQ51" s="100"/>
      <c r="BR51" s="100"/>
      <c r="BS51" s="100"/>
      <c r="BT51" s="100"/>
      <c r="BU51" s="100"/>
      <c r="BV51" s="100"/>
      <c r="IR51" s="39">
        <f>AQ51*0.604906771344455</f>
        <v>0</v>
      </c>
      <c r="IS51" s="39">
        <f>AQ51*(1-0.604906771344455)</f>
        <v>0</v>
      </c>
    </row>
    <row r="52" spans="1:253" ht="12.75">
      <c r="A52" s="97" t="s">
        <v>40</v>
      </c>
      <c r="B52" s="98"/>
      <c r="C52" s="97" t="s">
        <v>158</v>
      </c>
      <c r="D52" s="98"/>
      <c r="E52" s="98"/>
      <c r="F52" s="98"/>
      <c r="G52" s="98"/>
      <c r="H52" s="98"/>
      <c r="I52" s="97" t="s">
        <v>302</v>
      </c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7" t="s">
        <v>447</v>
      </c>
      <c r="AK52" s="98"/>
      <c r="AL52" s="99">
        <f>'Stavební rozpočet'!F61</f>
        <v>0.6</v>
      </c>
      <c r="AM52" s="100"/>
      <c r="AN52" s="100"/>
      <c r="AO52" s="100"/>
      <c r="AP52" s="100"/>
      <c r="AQ52" s="99">
        <f>'Stavební rozpočet'!G61</f>
        <v>0</v>
      </c>
      <c r="AR52" s="100"/>
      <c r="AS52" s="100"/>
      <c r="AT52" s="100"/>
      <c r="AU52" s="100"/>
      <c r="AV52" s="100"/>
      <c r="AW52" s="100"/>
      <c r="AX52" s="100"/>
      <c r="AY52" s="99">
        <f>IR52*AL52+IS52*AL52</f>
        <v>0</v>
      </c>
      <c r="AZ52" s="100"/>
      <c r="BA52" s="100"/>
      <c r="BB52" s="100"/>
      <c r="BC52" s="100"/>
      <c r="BD52" s="100"/>
      <c r="BE52" s="100"/>
      <c r="BF52" s="100"/>
      <c r="BG52" s="99">
        <f>'Stavební rozpočet'!K61</f>
        <v>1.00349</v>
      </c>
      <c r="BH52" s="100"/>
      <c r="BI52" s="100"/>
      <c r="BJ52" s="100"/>
      <c r="BK52" s="100"/>
      <c r="BL52" s="100"/>
      <c r="BM52" s="100"/>
      <c r="BN52" s="100"/>
      <c r="BO52" s="99">
        <f>BG52*AL52</f>
        <v>0.602094</v>
      </c>
      <c r="BP52" s="100"/>
      <c r="BQ52" s="100"/>
      <c r="BR52" s="100"/>
      <c r="BS52" s="100"/>
      <c r="BT52" s="100"/>
      <c r="BU52" s="100"/>
      <c r="BV52" s="100"/>
      <c r="IR52" s="39">
        <f>AQ52*0.500880995592429</f>
        <v>0</v>
      </c>
      <c r="IS52" s="39">
        <f>AQ52*(1-0.500880995592429)</f>
        <v>0</v>
      </c>
    </row>
    <row r="53" spans="1:74" ht="12.75">
      <c r="A53" s="101" t="s">
        <v>6</v>
      </c>
      <c r="B53" s="102"/>
      <c r="C53" s="101" t="s">
        <v>34</v>
      </c>
      <c r="D53" s="102"/>
      <c r="E53" s="102"/>
      <c r="F53" s="102"/>
      <c r="G53" s="102"/>
      <c r="H53" s="102"/>
      <c r="I53" s="101" t="s">
        <v>303</v>
      </c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1" t="s">
        <v>6</v>
      </c>
      <c r="AK53" s="102"/>
      <c r="AL53" s="103" t="s">
        <v>6</v>
      </c>
      <c r="AM53" s="104"/>
      <c r="AN53" s="104"/>
      <c r="AO53" s="104"/>
      <c r="AP53" s="104"/>
      <c r="AQ53" s="103" t="s">
        <v>6</v>
      </c>
      <c r="AR53" s="104"/>
      <c r="AS53" s="104"/>
      <c r="AT53" s="104"/>
      <c r="AU53" s="104"/>
      <c r="AV53" s="104"/>
      <c r="AW53" s="104"/>
      <c r="AX53" s="104"/>
      <c r="AY53" s="105">
        <f>SUM(AY54:AY55)</f>
        <v>0</v>
      </c>
      <c r="AZ53" s="104"/>
      <c r="BA53" s="104"/>
      <c r="BB53" s="104"/>
      <c r="BC53" s="104"/>
      <c r="BD53" s="104"/>
      <c r="BE53" s="104"/>
      <c r="BF53" s="104"/>
      <c r="BG53" s="103" t="s">
        <v>6</v>
      </c>
      <c r="BH53" s="104"/>
      <c r="BI53" s="104"/>
      <c r="BJ53" s="104"/>
      <c r="BK53" s="104"/>
      <c r="BL53" s="104"/>
      <c r="BM53" s="104"/>
      <c r="BN53" s="104"/>
      <c r="BO53" s="105">
        <f>SUM(BO54:BO55)</f>
        <v>0.306</v>
      </c>
      <c r="BP53" s="104"/>
      <c r="BQ53" s="104"/>
      <c r="BR53" s="104"/>
      <c r="BS53" s="104"/>
      <c r="BT53" s="104"/>
      <c r="BU53" s="104"/>
      <c r="BV53" s="104"/>
    </row>
    <row r="54" spans="1:253" ht="12.75">
      <c r="A54" s="97" t="s">
        <v>41</v>
      </c>
      <c r="B54" s="98"/>
      <c r="C54" s="97" t="s">
        <v>159</v>
      </c>
      <c r="D54" s="98"/>
      <c r="E54" s="98"/>
      <c r="F54" s="98"/>
      <c r="G54" s="98"/>
      <c r="H54" s="98"/>
      <c r="I54" s="97" t="s">
        <v>304</v>
      </c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7" t="s">
        <v>442</v>
      </c>
      <c r="AK54" s="98"/>
      <c r="AL54" s="99">
        <f>'Stavební rozpočet'!F63</f>
        <v>30.6</v>
      </c>
      <c r="AM54" s="100"/>
      <c r="AN54" s="100"/>
      <c r="AO54" s="100"/>
      <c r="AP54" s="100"/>
      <c r="AQ54" s="99">
        <f>'Stavební rozpočet'!G63</f>
        <v>0</v>
      </c>
      <c r="AR54" s="100"/>
      <c r="AS54" s="100"/>
      <c r="AT54" s="100"/>
      <c r="AU54" s="100"/>
      <c r="AV54" s="100"/>
      <c r="AW54" s="100"/>
      <c r="AX54" s="100"/>
      <c r="AY54" s="99">
        <f>IR54*AL54+IS54*AL54</f>
        <v>0</v>
      </c>
      <c r="AZ54" s="100"/>
      <c r="BA54" s="100"/>
      <c r="BB54" s="100"/>
      <c r="BC54" s="100"/>
      <c r="BD54" s="100"/>
      <c r="BE54" s="100"/>
      <c r="BF54" s="100"/>
      <c r="BG54" s="99">
        <f>'Stavební rozpočet'!K63</f>
        <v>0</v>
      </c>
      <c r="BH54" s="100"/>
      <c r="BI54" s="100"/>
      <c r="BJ54" s="100"/>
      <c r="BK54" s="100"/>
      <c r="BL54" s="100"/>
      <c r="BM54" s="100"/>
      <c r="BN54" s="100"/>
      <c r="BO54" s="99">
        <f>BG54*AL54</f>
        <v>0</v>
      </c>
      <c r="BP54" s="100"/>
      <c r="BQ54" s="100"/>
      <c r="BR54" s="100"/>
      <c r="BS54" s="100"/>
      <c r="BT54" s="100"/>
      <c r="BU54" s="100"/>
      <c r="BV54" s="100"/>
      <c r="IR54" s="39">
        <f>AQ54*0</f>
        <v>0</v>
      </c>
      <c r="IS54" s="39">
        <f>AQ54*(1-0)</f>
        <v>0</v>
      </c>
    </row>
    <row r="55" spans="1:253" ht="12.75">
      <c r="A55" s="97" t="s">
        <v>42</v>
      </c>
      <c r="B55" s="98"/>
      <c r="C55" s="97" t="s">
        <v>160</v>
      </c>
      <c r="D55" s="98"/>
      <c r="E55" s="98"/>
      <c r="F55" s="98"/>
      <c r="G55" s="98"/>
      <c r="H55" s="98"/>
      <c r="I55" s="97" t="s">
        <v>305</v>
      </c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7" t="s">
        <v>442</v>
      </c>
      <c r="AK55" s="98"/>
      <c r="AL55" s="99">
        <f>'Stavební rozpočet'!F64</f>
        <v>30.6</v>
      </c>
      <c r="AM55" s="100"/>
      <c r="AN55" s="100"/>
      <c r="AO55" s="100"/>
      <c r="AP55" s="100"/>
      <c r="AQ55" s="99">
        <f>'Stavební rozpočet'!G64</f>
        <v>0</v>
      </c>
      <c r="AR55" s="100"/>
      <c r="AS55" s="100"/>
      <c r="AT55" s="100"/>
      <c r="AU55" s="100"/>
      <c r="AV55" s="100"/>
      <c r="AW55" s="100"/>
      <c r="AX55" s="100"/>
      <c r="AY55" s="99">
        <f>IR55*AL55+IS55*AL55</f>
        <v>0</v>
      </c>
      <c r="AZ55" s="100"/>
      <c r="BA55" s="100"/>
      <c r="BB55" s="100"/>
      <c r="BC55" s="100"/>
      <c r="BD55" s="100"/>
      <c r="BE55" s="100"/>
      <c r="BF55" s="100"/>
      <c r="BG55" s="99">
        <f>'Stavební rozpočet'!K64</f>
        <v>0.01</v>
      </c>
      <c r="BH55" s="100"/>
      <c r="BI55" s="100"/>
      <c r="BJ55" s="100"/>
      <c r="BK55" s="100"/>
      <c r="BL55" s="100"/>
      <c r="BM55" s="100"/>
      <c r="BN55" s="100"/>
      <c r="BO55" s="99">
        <f>BG55*AL55</f>
        <v>0.306</v>
      </c>
      <c r="BP55" s="100"/>
      <c r="BQ55" s="100"/>
      <c r="BR55" s="100"/>
      <c r="BS55" s="100"/>
      <c r="BT55" s="100"/>
      <c r="BU55" s="100"/>
      <c r="BV55" s="100"/>
      <c r="IR55" s="39">
        <f>AQ55*0.72463768115942</f>
        <v>0</v>
      </c>
      <c r="IS55" s="39">
        <f>AQ55*(1-0.72463768115942)</f>
        <v>0</v>
      </c>
    </row>
    <row r="56" spans="1:74" ht="12.75">
      <c r="A56" s="101" t="s">
        <v>6</v>
      </c>
      <c r="B56" s="102"/>
      <c r="C56" s="101" t="s">
        <v>37</v>
      </c>
      <c r="D56" s="102"/>
      <c r="E56" s="102"/>
      <c r="F56" s="102"/>
      <c r="G56" s="102"/>
      <c r="H56" s="102"/>
      <c r="I56" s="101" t="s">
        <v>306</v>
      </c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1" t="s">
        <v>6</v>
      </c>
      <c r="AK56" s="102"/>
      <c r="AL56" s="103" t="s">
        <v>6</v>
      </c>
      <c r="AM56" s="104"/>
      <c r="AN56" s="104"/>
      <c r="AO56" s="104"/>
      <c r="AP56" s="104"/>
      <c r="AQ56" s="103" t="s">
        <v>6</v>
      </c>
      <c r="AR56" s="104"/>
      <c r="AS56" s="104"/>
      <c r="AT56" s="104"/>
      <c r="AU56" s="104"/>
      <c r="AV56" s="104"/>
      <c r="AW56" s="104"/>
      <c r="AX56" s="104"/>
      <c r="AY56" s="105">
        <f>SUM(AY57:AY60)</f>
        <v>0</v>
      </c>
      <c r="AZ56" s="104"/>
      <c r="BA56" s="104"/>
      <c r="BB56" s="104"/>
      <c r="BC56" s="104"/>
      <c r="BD56" s="104"/>
      <c r="BE56" s="104"/>
      <c r="BF56" s="104"/>
      <c r="BG56" s="103" t="s">
        <v>6</v>
      </c>
      <c r="BH56" s="104"/>
      <c r="BI56" s="104"/>
      <c r="BJ56" s="104"/>
      <c r="BK56" s="104"/>
      <c r="BL56" s="104"/>
      <c r="BM56" s="104"/>
      <c r="BN56" s="104"/>
      <c r="BO56" s="105">
        <f>SUM(BO57:BO60)</f>
        <v>4.45706</v>
      </c>
      <c r="BP56" s="104"/>
      <c r="BQ56" s="104"/>
      <c r="BR56" s="104"/>
      <c r="BS56" s="104"/>
      <c r="BT56" s="104"/>
      <c r="BU56" s="104"/>
      <c r="BV56" s="104"/>
    </row>
    <row r="57" spans="1:253" ht="12.75">
      <c r="A57" s="97" t="s">
        <v>43</v>
      </c>
      <c r="B57" s="98"/>
      <c r="C57" s="97" t="s">
        <v>161</v>
      </c>
      <c r="D57" s="98"/>
      <c r="E57" s="98"/>
      <c r="F57" s="98"/>
      <c r="G57" s="98"/>
      <c r="H57" s="98"/>
      <c r="I57" s="97" t="s">
        <v>307</v>
      </c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7" t="s">
        <v>448</v>
      </c>
      <c r="AK57" s="98"/>
      <c r="AL57" s="99">
        <f>'Stavební rozpočet'!F66</f>
        <v>29</v>
      </c>
      <c r="AM57" s="100"/>
      <c r="AN57" s="100"/>
      <c r="AO57" s="100"/>
      <c r="AP57" s="100"/>
      <c r="AQ57" s="99">
        <f>'Stavební rozpočet'!G66</f>
        <v>0</v>
      </c>
      <c r="AR57" s="100"/>
      <c r="AS57" s="100"/>
      <c r="AT57" s="100"/>
      <c r="AU57" s="100"/>
      <c r="AV57" s="100"/>
      <c r="AW57" s="100"/>
      <c r="AX57" s="100"/>
      <c r="AY57" s="99">
        <f>IR57*AL57+IS57*AL57</f>
        <v>0</v>
      </c>
      <c r="AZ57" s="100"/>
      <c r="BA57" s="100"/>
      <c r="BB57" s="100"/>
      <c r="BC57" s="100"/>
      <c r="BD57" s="100"/>
      <c r="BE57" s="100"/>
      <c r="BF57" s="100"/>
      <c r="BG57" s="99">
        <f>'Stavební rozpočet'!K66</f>
        <v>0.09216</v>
      </c>
      <c r="BH57" s="100"/>
      <c r="BI57" s="100"/>
      <c r="BJ57" s="100"/>
      <c r="BK57" s="100"/>
      <c r="BL57" s="100"/>
      <c r="BM57" s="100"/>
      <c r="BN57" s="100"/>
      <c r="BO57" s="99">
        <f>BG57*AL57</f>
        <v>2.6726400000000003</v>
      </c>
      <c r="BP57" s="100"/>
      <c r="BQ57" s="100"/>
      <c r="BR57" s="100"/>
      <c r="BS57" s="100"/>
      <c r="BT57" s="100"/>
      <c r="BU57" s="100"/>
      <c r="BV57" s="100"/>
      <c r="IR57" s="39">
        <f>AQ57*0.554613274075418</f>
        <v>0</v>
      </c>
      <c r="IS57" s="39">
        <f>AQ57*(1-0.554613274075418)</f>
        <v>0</v>
      </c>
    </row>
    <row r="58" spans="1:253" ht="12.75">
      <c r="A58" s="97" t="s">
        <v>44</v>
      </c>
      <c r="B58" s="98"/>
      <c r="C58" s="97" t="s">
        <v>162</v>
      </c>
      <c r="D58" s="98"/>
      <c r="E58" s="98"/>
      <c r="F58" s="98"/>
      <c r="G58" s="98"/>
      <c r="H58" s="98"/>
      <c r="I58" s="97" t="s">
        <v>309</v>
      </c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7" t="s">
        <v>448</v>
      </c>
      <c r="AK58" s="98"/>
      <c r="AL58" s="99">
        <f>'Stavební rozpočet'!F68</f>
        <v>7</v>
      </c>
      <c r="AM58" s="100"/>
      <c r="AN58" s="100"/>
      <c r="AO58" s="100"/>
      <c r="AP58" s="100"/>
      <c r="AQ58" s="99">
        <f>'Stavební rozpočet'!G68</f>
        <v>0</v>
      </c>
      <c r="AR58" s="100"/>
      <c r="AS58" s="100"/>
      <c r="AT58" s="100"/>
      <c r="AU58" s="100"/>
      <c r="AV58" s="100"/>
      <c r="AW58" s="100"/>
      <c r="AX58" s="100"/>
      <c r="AY58" s="99">
        <f>IR58*AL58+IS58*AL58</f>
        <v>0</v>
      </c>
      <c r="AZ58" s="100"/>
      <c r="BA58" s="100"/>
      <c r="BB58" s="100"/>
      <c r="BC58" s="100"/>
      <c r="BD58" s="100"/>
      <c r="BE58" s="100"/>
      <c r="BF58" s="100"/>
      <c r="BG58" s="99">
        <f>'Stavební rozpočet'!K68</f>
        <v>0.02606</v>
      </c>
      <c r="BH58" s="100"/>
      <c r="BI58" s="100"/>
      <c r="BJ58" s="100"/>
      <c r="BK58" s="100"/>
      <c r="BL58" s="100"/>
      <c r="BM58" s="100"/>
      <c r="BN58" s="100"/>
      <c r="BO58" s="99">
        <f>BG58*AL58</f>
        <v>0.18242</v>
      </c>
      <c r="BP58" s="100"/>
      <c r="BQ58" s="100"/>
      <c r="BR58" s="100"/>
      <c r="BS58" s="100"/>
      <c r="BT58" s="100"/>
      <c r="BU58" s="100"/>
      <c r="BV58" s="100"/>
      <c r="IR58" s="39">
        <f>AQ58*0.420610687022901</f>
        <v>0</v>
      </c>
      <c r="IS58" s="39">
        <f>AQ58*(1-0.420610687022901)</f>
        <v>0</v>
      </c>
    </row>
    <row r="59" spans="1:253" ht="12.75">
      <c r="A59" s="97" t="s">
        <v>45</v>
      </c>
      <c r="B59" s="98"/>
      <c r="C59" s="97" t="s">
        <v>163</v>
      </c>
      <c r="D59" s="98"/>
      <c r="E59" s="98"/>
      <c r="F59" s="98"/>
      <c r="G59" s="98"/>
      <c r="H59" s="98"/>
      <c r="I59" s="97" t="s">
        <v>310</v>
      </c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7" t="s">
        <v>448</v>
      </c>
      <c r="AK59" s="98"/>
      <c r="AL59" s="99">
        <f>'Stavební rozpočet'!F70</f>
        <v>9</v>
      </c>
      <c r="AM59" s="100"/>
      <c r="AN59" s="100"/>
      <c r="AO59" s="100"/>
      <c r="AP59" s="100"/>
      <c r="AQ59" s="99">
        <f>'Stavební rozpočet'!G70</f>
        <v>0</v>
      </c>
      <c r="AR59" s="100"/>
      <c r="AS59" s="100"/>
      <c r="AT59" s="100"/>
      <c r="AU59" s="100"/>
      <c r="AV59" s="100"/>
      <c r="AW59" s="100"/>
      <c r="AX59" s="100"/>
      <c r="AY59" s="99">
        <f>IR59*AL59+IS59*AL59</f>
        <v>0</v>
      </c>
      <c r="AZ59" s="100"/>
      <c r="BA59" s="100"/>
      <c r="BB59" s="100"/>
      <c r="BC59" s="100"/>
      <c r="BD59" s="100"/>
      <c r="BE59" s="100"/>
      <c r="BF59" s="100"/>
      <c r="BG59" s="99">
        <f>'Stavební rozpočet'!K70</f>
        <v>0.00488</v>
      </c>
      <c r="BH59" s="100"/>
      <c r="BI59" s="100"/>
      <c r="BJ59" s="100"/>
      <c r="BK59" s="100"/>
      <c r="BL59" s="100"/>
      <c r="BM59" s="100"/>
      <c r="BN59" s="100"/>
      <c r="BO59" s="99">
        <f>BG59*AL59</f>
        <v>0.04392</v>
      </c>
      <c r="BP59" s="100"/>
      <c r="BQ59" s="100"/>
      <c r="BR59" s="100"/>
      <c r="BS59" s="100"/>
      <c r="BT59" s="100"/>
      <c r="BU59" s="100"/>
      <c r="BV59" s="100"/>
      <c r="IR59" s="39">
        <f>AQ59*0.0624863685932388</f>
        <v>0</v>
      </c>
      <c r="IS59" s="39">
        <f>AQ59*(1-0.0624863685932388)</f>
        <v>0</v>
      </c>
    </row>
    <row r="60" spans="1:253" ht="12.75">
      <c r="A60" s="97" t="s">
        <v>46</v>
      </c>
      <c r="B60" s="98"/>
      <c r="C60" s="97" t="s">
        <v>164</v>
      </c>
      <c r="D60" s="98"/>
      <c r="E60" s="98"/>
      <c r="F60" s="98"/>
      <c r="G60" s="98"/>
      <c r="H60" s="98"/>
      <c r="I60" s="97" t="s">
        <v>311</v>
      </c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7" t="s">
        <v>442</v>
      </c>
      <c r="AK60" s="98"/>
      <c r="AL60" s="99">
        <f>'Stavební rozpočet'!F71</f>
        <v>9</v>
      </c>
      <c r="AM60" s="100"/>
      <c r="AN60" s="100"/>
      <c r="AO60" s="100"/>
      <c r="AP60" s="100"/>
      <c r="AQ60" s="99">
        <f>'Stavební rozpočet'!G71</f>
        <v>0</v>
      </c>
      <c r="AR60" s="100"/>
      <c r="AS60" s="100"/>
      <c r="AT60" s="100"/>
      <c r="AU60" s="100"/>
      <c r="AV60" s="100"/>
      <c r="AW60" s="100"/>
      <c r="AX60" s="100"/>
      <c r="AY60" s="99">
        <f>IR60*AL60+IS60*AL60</f>
        <v>0</v>
      </c>
      <c r="AZ60" s="100"/>
      <c r="BA60" s="100"/>
      <c r="BB60" s="100"/>
      <c r="BC60" s="100"/>
      <c r="BD60" s="100"/>
      <c r="BE60" s="100"/>
      <c r="BF60" s="100"/>
      <c r="BG60" s="99">
        <f>'Stavební rozpočet'!K71</f>
        <v>0.17312</v>
      </c>
      <c r="BH60" s="100"/>
      <c r="BI60" s="100"/>
      <c r="BJ60" s="100"/>
      <c r="BK60" s="100"/>
      <c r="BL60" s="100"/>
      <c r="BM60" s="100"/>
      <c r="BN60" s="100"/>
      <c r="BO60" s="99">
        <f>BG60*AL60</f>
        <v>1.55808</v>
      </c>
      <c r="BP60" s="100"/>
      <c r="BQ60" s="100"/>
      <c r="BR60" s="100"/>
      <c r="BS60" s="100"/>
      <c r="BT60" s="100"/>
      <c r="BU60" s="100"/>
      <c r="BV60" s="100"/>
      <c r="IR60" s="39">
        <f>AQ60*0.777763061074319</f>
        <v>0</v>
      </c>
      <c r="IS60" s="39">
        <f>AQ60*(1-0.777763061074319)</f>
        <v>0</v>
      </c>
    </row>
    <row r="61" spans="1:74" ht="12.75">
      <c r="A61" s="101" t="s">
        <v>6</v>
      </c>
      <c r="B61" s="102"/>
      <c r="C61" s="101" t="s">
        <v>39</v>
      </c>
      <c r="D61" s="102"/>
      <c r="E61" s="102"/>
      <c r="F61" s="102"/>
      <c r="G61" s="102"/>
      <c r="H61" s="102"/>
      <c r="I61" s="101" t="s">
        <v>313</v>
      </c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1" t="s">
        <v>6</v>
      </c>
      <c r="AK61" s="102"/>
      <c r="AL61" s="103" t="s">
        <v>6</v>
      </c>
      <c r="AM61" s="104"/>
      <c r="AN61" s="104"/>
      <c r="AO61" s="104"/>
      <c r="AP61" s="104"/>
      <c r="AQ61" s="103" t="s">
        <v>6</v>
      </c>
      <c r="AR61" s="104"/>
      <c r="AS61" s="104"/>
      <c r="AT61" s="104"/>
      <c r="AU61" s="104"/>
      <c r="AV61" s="104"/>
      <c r="AW61" s="104"/>
      <c r="AX61" s="104"/>
      <c r="AY61" s="105">
        <f>SUM(AY62:AY62)</f>
        <v>0</v>
      </c>
      <c r="AZ61" s="104"/>
      <c r="BA61" s="104"/>
      <c r="BB61" s="104"/>
      <c r="BC61" s="104"/>
      <c r="BD61" s="104"/>
      <c r="BE61" s="104"/>
      <c r="BF61" s="104"/>
      <c r="BG61" s="103" t="s">
        <v>6</v>
      </c>
      <c r="BH61" s="104"/>
      <c r="BI61" s="104"/>
      <c r="BJ61" s="104"/>
      <c r="BK61" s="104"/>
      <c r="BL61" s="104"/>
      <c r="BM61" s="104"/>
      <c r="BN61" s="104"/>
      <c r="BO61" s="105">
        <f>SUM(BO62:BO62)</f>
        <v>0.4</v>
      </c>
      <c r="BP61" s="104"/>
      <c r="BQ61" s="104"/>
      <c r="BR61" s="104"/>
      <c r="BS61" s="104"/>
      <c r="BT61" s="104"/>
      <c r="BU61" s="104"/>
      <c r="BV61" s="104"/>
    </row>
    <row r="62" spans="1:253" ht="12.75">
      <c r="A62" s="97" t="s">
        <v>47</v>
      </c>
      <c r="B62" s="98"/>
      <c r="C62" s="97" t="s">
        <v>165</v>
      </c>
      <c r="D62" s="98"/>
      <c r="E62" s="98"/>
      <c r="F62" s="98"/>
      <c r="G62" s="98"/>
      <c r="H62" s="98"/>
      <c r="I62" s="97" t="s">
        <v>314</v>
      </c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7" t="s">
        <v>448</v>
      </c>
      <c r="AK62" s="98"/>
      <c r="AL62" s="99">
        <f>'Stavební rozpočet'!F74</f>
        <v>4</v>
      </c>
      <c r="AM62" s="100"/>
      <c r="AN62" s="100"/>
      <c r="AO62" s="100"/>
      <c r="AP62" s="100"/>
      <c r="AQ62" s="99">
        <f>'Stavební rozpočet'!G74</f>
        <v>0</v>
      </c>
      <c r="AR62" s="100"/>
      <c r="AS62" s="100"/>
      <c r="AT62" s="100"/>
      <c r="AU62" s="100"/>
      <c r="AV62" s="100"/>
      <c r="AW62" s="100"/>
      <c r="AX62" s="100"/>
      <c r="AY62" s="99">
        <f>IR62*AL62+IS62*AL62</f>
        <v>0</v>
      </c>
      <c r="AZ62" s="100"/>
      <c r="BA62" s="100"/>
      <c r="BB62" s="100"/>
      <c r="BC62" s="100"/>
      <c r="BD62" s="100"/>
      <c r="BE62" s="100"/>
      <c r="BF62" s="100"/>
      <c r="BG62" s="99">
        <f>'Stavební rozpočet'!K74</f>
        <v>0.1</v>
      </c>
      <c r="BH62" s="100"/>
      <c r="BI62" s="100"/>
      <c r="BJ62" s="100"/>
      <c r="BK62" s="100"/>
      <c r="BL62" s="100"/>
      <c r="BM62" s="100"/>
      <c r="BN62" s="100"/>
      <c r="BO62" s="99">
        <f>BG62*AL62</f>
        <v>0.4</v>
      </c>
      <c r="BP62" s="100"/>
      <c r="BQ62" s="100"/>
      <c r="BR62" s="100"/>
      <c r="BS62" s="100"/>
      <c r="BT62" s="100"/>
      <c r="BU62" s="100"/>
      <c r="BV62" s="100"/>
      <c r="IR62" s="39">
        <f>AQ62*0.344490566037736</f>
        <v>0</v>
      </c>
      <c r="IS62" s="39">
        <f>AQ62*(1-0.344490566037736)</f>
        <v>0</v>
      </c>
    </row>
    <row r="63" spans="1:74" ht="12.75">
      <c r="A63" s="101" t="s">
        <v>6</v>
      </c>
      <c r="B63" s="102"/>
      <c r="C63" s="101" t="s">
        <v>40</v>
      </c>
      <c r="D63" s="102"/>
      <c r="E63" s="102"/>
      <c r="F63" s="102"/>
      <c r="G63" s="102"/>
      <c r="H63" s="102"/>
      <c r="I63" s="101" t="s">
        <v>315</v>
      </c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1" t="s">
        <v>6</v>
      </c>
      <c r="AK63" s="102"/>
      <c r="AL63" s="103" t="s">
        <v>6</v>
      </c>
      <c r="AM63" s="104"/>
      <c r="AN63" s="104"/>
      <c r="AO63" s="104"/>
      <c r="AP63" s="104"/>
      <c r="AQ63" s="103" t="s">
        <v>6</v>
      </c>
      <c r="AR63" s="104"/>
      <c r="AS63" s="104"/>
      <c r="AT63" s="104"/>
      <c r="AU63" s="104"/>
      <c r="AV63" s="104"/>
      <c r="AW63" s="104"/>
      <c r="AX63" s="104"/>
      <c r="AY63" s="105">
        <f>SUM(AY64:AY64)</f>
        <v>0</v>
      </c>
      <c r="AZ63" s="104"/>
      <c r="BA63" s="104"/>
      <c r="BB63" s="104"/>
      <c r="BC63" s="104"/>
      <c r="BD63" s="104"/>
      <c r="BE63" s="104"/>
      <c r="BF63" s="104"/>
      <c r="BG63" s="103" t="s">
        <v>6</v>
      </c>
      <c r="BH63" s="104"/>
      <c r="BI63" s="104"/>
      <c r="BJ63" s="104"/>
      <c r="BK63" s="104"/>
      <c r="BL63" s="104"/>
      <c r="BM63" s="104"/>
      <c r="BN63" s="104"/>
      <c r="BO63" s="105">
        <f>SUM(BO64:BO64)</f>
        <v>0.024480000000000002</v>
      </c>
      <c r="BP63" s="104"/>
      <c r="BQ63" s="104"/>
      <c r="BR63" s="104"/>
      <c r="BS63" s="104"/>
      <c r="BT63" s="104"/>
      <c r="BU63" s="104"/>
      <c r="BV63" s="104"/>
    </row>
    <row r="64" spans="1:253" ht="12.75">
      <c r="A64" s="97" t="s">
        <v>48</v>
      </c>
      <c r="B64" s="98"/>
      <c r="C64" s="97" t="s">
        <v>166</v>
      </c>
      <c r="D64" s="98"/>
      <c r="E64" s="98"/>
      <c r="F64" s="98"/>
      <c r="G64" s="98"/>
      <c r="H64" s="98"/>
      <c r="I64" s="97" t="s">
        <v>316</v>
      </c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7" t="s">
        <v>443</v>
      </c>
      <c r="AK64" s="98"/>
      <c r="AL64" s="99">
        <f>'Stavební rozpočet'!F76</f>
        <v>24</v>
      </c>
      <c r="AM64" s="100"/>
      <c r="AN64" s="100"/>
      <c r="AO64" s="100"/>
      <c r="AP64" s="100"/>
      <c r="AQ64" s="99">
        <f>'Stavební rozpočet'!G76</f>
        <v>0</v>
      </c>
      <c r="AR64" s="100"/>
      <c r="AS64" s="100"/>
      <c r="AT64" s="100"/>
      <c r="AU64" s="100"/>
      <c r="AV64" s="100"/>
      <c r="AW64" s="100"/>
      <c r="AX64" s="100"/>
      <c r="AY64" s="99">
        <f>IR64*AL64+IS64*AL64</f>
        <v>0</v>
      </c>
      <c r="AZ64" s="100"/>
      <c r="BA64" s="100"/>
      <c r="BB64" s="100"/>
      <c r="BC64" s="100"/>
      <c r="BD64" s="100"/>
      <c r="BE64" s="100"/>
      <c r="BF64" s="100"/>
      <c r="BG64" s="99">
        <f>'Stavební rozpočet'!K76</f>
        <v>0.00102</v>
      </c>
      <c r="BH64" s="100"/>
      <c r="BI64" s="100"/>
      <c r="BJ64" s="100"/>
      <c r="BK64" s="100"/>
      <c r="BL64" s="100"/>
      <c r="BM64" s="100"/>
      <c r="BN64" s="100"/>
      <c r="BO64" s="99">
        <f>BG64*AL64</f>
        <v>0.024480000000000002</v>
      </c>
      <c r="BP64" s="100"/>
      <c r="BQ64" s="100"/>
      <c r="BR64" s="100"/>
      <c r="BS64" s="100"/>
      <c r="BT64" s="100"/>
      <c r="BU64" s="100"/>
      <c r="BV64" s="100"/>
      <c r="IR64" s="39">
        <f>AQ64*0.18260942338271</f>
        <v>0</v>
      </c>
      <c r="IS64" s="39">
        <f>AQ64*(1-0.18260942338271)</f>
        <v>0</v>
      </c>
    </row>
    <row r="65" spans="1:74" ht="12.75">
      <c r="A65" s="101" t="s">
        <v>6</v>
      </c>
      <c r="B65" s="102"/>
      <c r="C65" s="101" t="s">
        <v>51</v>
      </c>
      <c r="D65" s="102"/>
      <c r="E65" s="102"/>
      <c r="F65" s="102"/>
      <c r="G65" s="102"/>
      <c r="H65" s="102"/>
      <c r="I65" s="101" t="s">
        <v>317</v>
      </c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1" t="s">
        <v>6</v>
      </c>
      <c r="AK65" s="102"/>
      <c r="AL65" s="103" t="s">
        <v>6</v>
      </c>
      <c r="AM65" s="104"/>
      <c r="AN65" s="104"/>
      <c r="AO65" s="104"/>
      <c r="AP65" s="104"/>
      <c r="AQ65" s="103" t="s">
        <v>6</v>
      </c>
      <c r="AR65" s="104"/>
      <c r="AS65" s="104"/>
      <c r="AT65" s="104"/>
      <c r="AU65" s="104"/>
      <c r="AV65" s="104"/>
      <c r="AW65" s="104"/>
      <c r="AX65" s="104"/>
      <c r="AY65" s="105">
        <f>SUM(AY66:AY66)</f>
        <v>0</v>
      </c>
      <c r="AZ65" s="104"/>
      <c r="BA65" s="104"/>
      <c r="BB65" s="104"/>
      <c r="BC65" s="104"/>
      <c r="BD65" s="104"/>
      <c r="BE65" s="104"/>
      <c r="BF65" s="104"/>
      <c r="BG65" s="103" t="s">
        <v>6</v>
      </c>
      <c r="BH65" s="104"/>
      <c r="BI65" s="104"/>
      <c r="BJ65" s="104"/>
      <c r="BK65" s="104"/>
      <c r="BL65" s="104"/>
      <c r="BM65" s="104"/>
      <c r="BN65" s="104"/>
      <c r="BO65" s="105">
        <f>SUM(BO66:BO66)</f>
        <v>0.3030504</v>
      </c>
      <c r="BP65" s="104"/>
      <c r="BQ65" s="104"/>
      <c r="BR65" s="104"/>
      <c r="BS65" s="104"/>
      <c r="BT65" s="104"/>
      <c r="BU65" s="104"/>
      <c r="BV65" s="104"/>
    </row>
    <row r="66" spans="1:253" ht="12.75">
      <c r="A66" s="97" t="s">
        <v>49</v>
      </c>
      <c r="B66" s="98"/>
      <c r="C66" s="97" t="s">
        <v>167</v>
      </c>
      <c r="D66" s="98"/>
      <c r="E66" s="98"/>
      <c r="F66" s="98"/>
      <c r="G66" s="98"/>
      <c r="H66" s="98"/>
      <c r="I66" s="97" t="s">
        <v>318</v>
      </c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7" t="s">
        <v>446</v>
      </c>
      <c r="AK66" s="98"/>
      <c r="AL66" s="99">
        <f>'Stavební rozpočet'!F78</f>
        <v>0.12</v>
      </c>
      <c r="AM66" s="100"/>
      <c r="AN66" s="100"/>
      <c r="AO66" s="100"/>
      <c r="AP66" s="100"/>
      <c r="AQ66" s="99">
        <f>'Stavební rozpočet'!G78</f>
        <v>0</v>
      </c>
      <c r="AR66" s="100"/>
      <c r="AS66" s="100"/>
      <c r="AT66" s="100"/>
      <c r="AU66" s="100"/>
      <c r="AV66" s="100"/>
      <c r="AW66" s="100"/>
      <c r="AX66" s="100"/>
      <c r="AY66" s="99">
        <f>IR66*AL66+IS66*AL66</f>
        <v>0</v>
      </c>
      <c r="AZ66" s="100"/>
      <c r="BA66" s="100"/>
      <c r="BB66" s="100"/>
      <c r="BC66" s="100"/>
      <c r="BD66" s="100"/>
      <c r="BE66" s="100"/>
      <c r="BF66" s="100"/>
      <c r="BG66" s="99">
        <f>'Stavební rozpočet'!K78</f>
        <v>2.52542</v>
      </c>
      <c r="BH66" s="100"/>
      <c r="BI66" s="100"/>
      <c r="BJ66" s="100"/>
      <c r="BK66" s="100"/>
      <c r="BL66" s="100"/>
      <c r="BM66" s="100"/>
      <c r="BN66" s="100"/>
      <c r="BO66" s="99">
        <f>BG66*AL66</f>
        <v>0.3030504</v>
      </c>
      <c r="BP66" s="100"/>
      <c r="BQ66" s="100"/>
      <c r="BR66" s="100"/>
      <c r="BS66" s="100"/>
      <c r="BT66" s="100"/>
      <c r="BU66" s="100"/>
      <c r="BV66" s="100"/>
      <c r="IR66" s="39">
        <f>AQ66*0.636217032967033</f>
        <v>0</v>
      </c>
      <c r="IS66" s="39">
        <f>AQ66*(1-0.636217032967033)</f>
        <v>0</v>
      </c>
    </row>
    <row r="67" spans="1:74" ht="12.75">
      <c r="A67" s="101" t="s">
        <v>6</v>
      </c>
      <c r="B67" s="102"/>
      <c r="C67" s="101" t="s">
        <v>62</v>
      </c>
      <c r="D67" s="102"/>
      <c r="E67" s="102"/>
      <c r="F67" s="102"/>
      <c r="G67" s="102"/>
      <c r="H67" s="102"/>
      <c r="I67" s="101" t="s">
        <v>319</v>
      </c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1" t="s">
        <v>6</v>
      </c>
      <c r="AK67" s="102"/>
      <c r="AL67" s="103" t="s">
        <v>6</v>
      </c>
      <c r="AM67" s="104"/>
      <c r="AN67" s="104"/>
      <c r="AO67" s="104"/>
      <c r="AP67" s="104"/>
      <c r="AQ67" s="103" t="s">
        <v>6</v>
      </c>
      <c r="AR67" s="104"/>
      <c r="AS67" s="104"/>
      <c r="AT67" s="104"/>
      <c r="AU67" s="104"/>
      <c r="AV67" s="104"/>
      <c r="AW67" s="104"/>
      <c r="AX67" s="104"/>
      <c r="AY67" s="105">
        <f>SUM(AY68:AY69)</f>
        <v>0</v>
      </c>
      <c r="AZ67" s="104"/>
      <c r="BA67" s="104"/>
      <c r="BB67" s="104"/>
      <c r="BC67" s="104"/>
      <c r="BD67" s="104"/>
      <c r="BE67" s="104"/>
      <c r="BF67" s="104"/>
      <c r="BG67" s="103" t="s">
        <v>6</v>
      </c>
      <c r="BH67" s="104"/>
      <c r="BI67" s="104"/>
      <c r="BJ67" s="104"/>
      <c r="BK67" s="104"/>
      <c r="BL67" s="104"/>
      <c r="BM67" s="104"/>
      <c r="BN67" s="104"/>
      <c r="BO67" s="105">
        <f>SUM(BO68:BO69)</f>
        <v>48.2650568</v>
      </c>
      <c r="BP67" s="104"/>
      <c r="BQ67" s="104"/>
      <c r="BR67" s="104"/>
      <c r="BS67" s="104"/>
      <c r="BT67" s="104"/>
      <c r="BU67" s="104"/>
      <c r="BV67" s="104"/>
    </row>
    <row r="68" spans="1:253" ht="12.75">
      <c r="A68" s="97" t="s">
        <v>50</v>
      </c>
      <c r="B68" s="98"/>
      <c r="C68" s="97" t="s">
        <v>168</v>
      </c>
      <c r="D68" s="98"/>
      <c r="E68" s="98"/>
      <c r="F68" s="98"/>
      <c r="G68" s="98"/>
      <c r="H68" s="98"/>
      <c r="I68" s="97" t="s">
        <v>320</v>
      </c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7" t="s">
        <v>447</v>
      </c>
      <c r="AK68" s="98"/>
      <c r="AL68" s="99">
        <f>'Stavební rozpočet'!F80</f>
        <v>26.8</v>
      </c>
      <c r="AM68" s="100"/>
      <c r="AN68" s="100"/>
      <c r="AO68" s="100"/>
      <c r="AP68" s="100"/>
      <c r="AQ68" s="99">
        <f>'Stavební rozpočet'!G80</f>
        <v>0</v>
      </c>
      <c r="AR68" s="100"/>
      <c r="AS68" s="100"/>
      <c r="AT68" s="100"/>
      <c r="AU68" s="100"/>
      <c r="AV68" s="100"/>
      <c r="AW68" s="100"/>
      <c r="AX68" s="100"/>
      <c r="AY68" s="99">
        <f>IR68*AL68+IS68*AL68</f>
        <v>0</v>
      </c>
      <c r="AZ68" s="100"/>
      <c r="BA68" s="100"/>
      <c r="BB68" s="100"/>
      <c r="BC68" s="100"/>
      <c r="BD68" s="100"/>
      <c r="BE68" s="100"/>
      <c r="BF68" s="100"/>
      <c r="BG68" s="99">
        <f>'Stavební rozpočet'!K80</f>
        <v>1.1</v>
      </c>
      <c r="BH68" s="100"/>
      <c r="BI68" s="100"/>
      <c r="BJ68" s="100"/>
      <c r="BK68" s="100"/>
      <c r="BL68" s="100"/>
      <c r="BM68" s="100"/>
      <c r="BN68" s="100"/>
      <c r="BO68" s="99">
        <f>BG68*AL68</f>
        <v>29.480000000000004</v>
      </c>
      <c r="BP68" s="100"/>
      <c r="BQ68" s="100"/>
      <c r="BR68" s="100"/>
      <c r="BS68" s="100"/>
      <c r="BT68" s="100"/>
      <c r="BU68" s="100"/>
      <c r="BV68" s="100"/>
      <c r="IR68" s="39">
        <f>AQ68*0.875173745173745</f>
        <v>0</v>
      </c>
      <c r="IS68" s="39">
        <f>AQ68*(1-0.875173745173745)</f>
        <v>0</v>
      </c>
    </row>
    <row r="69" spans="1:253" ht="12.75">
      <c r="A69" s="97" t="s">
        <v>51</v>
      </c>
      <c r="B69" s="98"/>
      <c r="C69" s="97" t="s">
        <v>169</v>
      </c>
      <c r="D69" s="98"/>
      <c r="E69" s="98"/>
      <c r="F69" s="98"/>
      <c r="G69" s="98"/>
      <c r="H69" s="98"/>
      <c r="I69" s="97" t="s">
        <v>321</v>
      </c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7" t="s">
        <v>442</v>
      </c>
      <c r="AK69" s="98"/>
      <c r="AL69" s="99">
        <f>'Stavební rozpočet'!F81</f>
        <v>26.22</v>
      </c>
      <c r="AM69" s="100"/>
      <c r="AN69" s="100"/>
      <c r="AO69" s="100"/>
      <c r="AP69" s="100"/>
      <c r="AQ69" s="99">
        <f>'Stavební rozpočet'!G81</f>
        <v>0</v>
      </c>
      <c r="AR69" s="100"/>
      <c r="AS69" s="100"/>
      <c r="AT69" s="100"/>
      <c r="AU69" s="100"/>
      <c r="AV69" s="100"/>
      <c r="AW69" s="100"/>
      <c r="AX69" s="100"/>
      <c r="AY69" s="99">
        <f>IR69*AL69+IS69*AL69</f>
        <v>0</v>
      </c>
      <c r="AZ69" s="100"/>
      <c r="BA69" s="100"/>
      <c r="BB69" s="100"/>
      <c r="BC69" s="100"/>
      <c r="BD69" s="100"/>
      <c r="BE69" s="100"/>
      <c r="BF69" s="100"/>
      <c r="BG69" s="99">
        <f>'Stavební rozpočet'!K81</f>
        <v>0.71644</v>
      </c>
      <c r="BH69" s="100"/>
      <c r="BI69" s="100"/>
      <c r="BJ69" s="100"/>
      <c r="BK69" s="100"/>
      <c r="BL69" s="100"/>
      <c r="BM69" s="100"/>
      <c r="BN69" s="100"/>
      <c r="BO69" s="99">
        <f>BG69*AL69</f>
        <v>18.7850568</v>
      </c>
      <c r="BP69" s="100"/>
      <c r="BQ69" s="100"/>
      <c r="BR69" s="100"/>
      <c r="BS69" s="100"/>
      <c r="BT69" s="100"/>
      <c r="BU69" s="100"/>
      <c r="BV69" s="100"/>
      <c r="IR69" s="39">
        <f>AQ69*0.812870424988062</f>
        <v>0</v>
      </c>
      <c r="IS69" s="39">
        <f>AQ69*(1-0.812870424988062)</f>
        <v>0</v>
      </c>
    </row>
    <row r="70" spans="1:74" ht="12.75">
      <c r="A70" s="101" t="s">
        <v>6</v>
      </c>
      <c r="B70" s="102"/>
      <c r="C70" s="101" t="s">
        <v>64</v>
      </c>
      <c r="D70" s="102"/>
      <c r="E70" s="102"/>
      <c r="F70" s="102"/>
      <c r="G70" s="102"/>
      <c r="H70" s="102"/>
      <c r="I70" s="101" t="s">
        <v>322</v>
      </c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1" t="s">
        <v>6</v>
      </c>
      <c r="AK70" s="102"/>
      <c r="AL70" s="103" t="s">
        <v>6</v>
      </c>
      <c r="AM70" s="104"/>
      <c r="AN70" s="104"/>
      <c r="AO70" s="104"/>
      <c r="AP70" s="104"/>
      <c r="AQ70" s="103" t="s">
        <v>6</v>
      </c>
      <c r="AR70" s="104"/>
      <c r="AS70" s="104"/>
      <c r="AT70" s="104"/>
      <c r="AU70" s="104"/>
      <c r="AV70" s="104"/>
      <c r="AW70" s="104"/>
      <c r="AX70" s="104"/>
      <c r="AY70" s="105">
        <f>SUM(AY71:AY71)</f>
        <v>0</v>
      </c>
      <c r="AZ70" s="104"/>
      <c r="BA70" s="104"/>
      <c r="BB70" s="104"/>
      <c r="BC70" s="104"/>
      <c r="BD70" s="104"/>
      <c r="BE70" s="104"/>
      <c r="BF70" s="104"/>
      <c r="BG70" s="103" t="s">
        <v>6</v>
      </c>
      <c r="BH70" s="104"/>
      <c r="BI70" s="104"/>
      <c r="BJ70" s="104"/>
      <c r="BK70" s="104"/>
      <c r="BL70" s="104"/>
      <c r="BM70" s="104"/>
      <c r="BN70" s="104"/>
      <c r="BO70" s="105">
        <f>SUM(BO71:BO71)</f>
        <v>3.1563</v>
      </c>
      <c r="BP70" s="104"/>
      <c r="BQ70" s="104"/>
      <c r="BR70" s="104"/>
      <c r="BS70" s="104"/>
      <c r="BT70" s="104"/>
      <c r="BU70" s="104"/>
      <c r="BV70" s="104"/>
    </row>
    <row r="71" spans="1:253" ht="12.75">
      <c r="A71" s="97" t="s">
        <v>52</v>
      </c>
      <c r="B71" s="98"/>
      <c r="C71" s="97" t="s">
        <v>170</v>
      </c>
      <c r="D71" s="98"/>
      <c r="E71" s="98"/>
      <c r="F71" s="98"/>
      <c r="G71" s="98"/>
      <c r="H71" s="98"/>
      <c r="I71" s="97" t="s">
        <v>323</v>
      </c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7" t="s">
        <v>442</v>
      </c>
      <c r="AK71" s="98"/>
      <c r="AL71" s="99">
        <f>'Stavební rozpočet'!F83</f>
        <v>37.8</v>
      </c>
      <c r="AM71" s="100"/>
      <c r="AN71" s="100"/>
      <c r="AO71" s="100"/>
      <c r="AP71" s="100"/>
      <c r="AQ71" s="99">
        <f>'Stavební rozpočet'!G83</f>
        <v>0</v>
      </c>
      <c r="AR71" s="100"/>
      <c r="AS71" s="100"/>
      <c r="AT71" s="100"/>
      <c r="AU71" s="100"/>
      <c r="AV71" s="100"/>
      <c r="AW71" s="100"/>
      <c r="AX71" s="100"/>
      <c r="AY71" s="99">
        <f>IR71*AL71+IS71*AL71</f>
        <v>0</v>
      </c>
      <c r="AZ71" s="100"/>
      <c r="BA71" s="100"/>
      <c r="BB71" s="100"/>
      <c r="BC71" s="100"/>
      <c r="BD71" s="100"/>
      <c r="BE71" s="100"/>
      <c r="BF71" s="100"/>
      <c r="BG71" s="99">
        <f>'Stavební rozpočet'!K83</f>
        <v>0.0835</v>
      </c>
      <c r="BH71" s="100"/>
      <c r="BI71" s="100"/>
      <c r="BJ71" s="100"/>
      <c r="BK71" s="100"/>
      <c r="BL71" s="100"/>
      <c r="BM71" s="100"/>
      <c r="BN71" s="100"/>
      <c r="BO71" s="99">
        <f>BG71*AL71</f>
        <v>3.1563</v>
      </c>
      <c r="BP71" s="100"/>
      <c r="BQ71" s="100"/>
      <c r="BR71" s="100"/>
      <c r="BS71" s="100"/>
      <c r="BT71" s="100"/>
      <c r="BU71" s="100"/>
      <c r="BV71" s="100"/>
      <c r="IR71" s="39">
        <f>AQ71*0.2775</f>
        <v>0</v>
      </c>
      <c r="IS71" s="39">
        <f>AQ71*(1-0.2775)</f>
        <v>0</v>
      </c>
    </row>
    <row r="72" spans="1:74" ht="12.75">
      <c r="A72" s="101" t="s">
        <v>6</v>
      </c>
      <c r="B72" s="102"/>
      <c r="C72" s="101" t="s">
        <v>65</v>
      </c>
      <c r="D72" s="102"/>
      <c r="E72" s="102"/>
      <c r="F72" s="102"/>
      <c r="G72" s="102"/>
      <c r="H72" s="102"/>
      <c r="I72" s="101" t="s">
        <v>324</v>
      </c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1" t="s">
        <v>6</v>
      </c>
      <c r="AK72" s="102"/>
      <c r="AL72" s="103" t="s">
        <v>6</v>
      </c>
      <c r="AM72" s="104"/>
      <c r="AN72" s="104"/>
      <c r="AO72" s="104"/>
      <c r="AP72" s="104"/>
      <c r="AQ72" s="103" t="s">
        <v>6</v>
      </c>
      <c r="AR72" s="104"/>
      <c r="AS72" s="104"/>
      <c r="AT72" s="104"/>
      <c r="AU72" s="104"/>
      <c r="AV72" s="104"/>
      <c r="AW72" s="104"/>
      <c r="AX72" s="104"/>
      <c r="AY72" s="105">
        <f>SUM(AY73:AY73)</f>
        <v>0</v>
      </c>
      <c r="AZ72" s="104"/>
      <c r="BA72" s="104"/>
      <c r="BB72" s="104"/>
      <c r="BC72" s="104"/>
      <c r="BD72" s="104"/>
      <c r="BE72" s="104"/>
      <c r="BF72" s="104"/>
      <c r="BG72" s="103" t="s">
        <v>6</v>
      </c>
      <c r="BH72" s="104"/>
      <c r="BI72" s="104"/>
      <c r="BJ72" s="104"/>
      <c r="BK72" s="104"/>
      <c r="BL72" s="104"/>
      <c r="BM72" s="104"/>
      <c r="BN72" s="104"/>
      <c r="BO72" s="105">
        <f>SUM(BO73:BO73)</f>
        <v>0.12525</v>
      </c>
      <c r="BP72" s="104"/>
      <c r="BQ72" s="104"/>
      <c r="BR72" s="104"/>
      <c r="BS72" s="104"/>
      <c r="BT72" s="104"/>
      <c r="BU72" s="104"/>
      <c r="BV72" s="104"/>
    </row>
    <row r="73" spans="1:253" ht="12.75">
      <c r="A73" s="97" t="s">
        <v>53</v>
      </c>
      <c r="B73" s="98"/>
      <c r="C73" s="97" t="s">
        <v>171</v>
      </c>
      <c r="D73" s="98"/>
      <c r="E73" s="98"/>
      <c r="F73" s="98"/>
      <c r="G73" s="98"/>
      <c r="H73" s="98"/>
      <c r="I73" s="97" t="s">
        <v>325</v>
      </c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7" t="s">
        <v>443</v>
      </c>
      <c r="AK73" s="98"/>
      <c r="AL73" s="99">
        <f>'Stavební rozpočet'!F85</f>
        <v>25</v>
      </c>
      <c r="AM73" s="100"/>
      <c r="AN73" s="100"/>
      <c r="AO73" s="100"/>
      <c r="AP73" s="100"/>
      <c r="AQ73" s="99">
        <f>'Stavební rozpočet'!G85</f>
        <v>0</v>
      </c>
      <c r="AR73" s="100"/>
      <c r="AS73" s="100"/>
      <c r="AT73" s="100"/>
      <c r="AU73" s="100"/>
      <c r="AV73" s="100"/>
      <c r="AW73" s="100"/>
      <c r="AX73" s="100"/>
      <c r="AY73" s="99">
        <f>IR73*AL73+IS73*AL73</f>
        <v>0</v>
      </c>
      <c r="AZ73" s="100"/>
      <c r="BA73" s="100"/>
      <c r="BB73" s="100"/>
      <c r="BC73" s="100"/>
      <c r="BD73" s="100"/>
      <c r="BE73" s="100"/>
      <c r="BF73" s="100"/>
      <c r="BG73" s="99">
        <f>'Stavební rozpočet'!K85</f>
        <v>0.00501</v>
      </c>
      <c r="BH73" s="100"/>
      <c r="BI73" s="100"/>
      <c r="BJ73" s="100"/>
      <c r="BK73" s="100"/>
      <c r="BL73" s="100"/>
      <c r="BM73" s="100"/>
      <c r="BN73" s="100"/>
      <c r="BO73" s="99">
        <f>BG73*AL73</f>
        <v>0.12525</v>
      </c>
      <c r="BP73" s="100"/>
      <c r="BQ73" s="100"/>
      <c r="BR73" s="100"/>
      <c r="BS73" s="100"/>
      <c r="BT73" s="100"/>
      <c r="BU73" s="100"/>
      <c r="BV73" s="100"/>
      <c r="IR73" s="39">
        <f>AQ73*0.546623794212219</f>
        <v>0</v>
      </c>
      <c r="IS73" s="39">
        <f>AQ73*(1-0.546623794212219)</f>
        <v>0</v>
      </c>
    </row>
    <row r="74" spans="1:74" ht="12.75">
      <c r="A74" s="101" t="s">
        <v>6</v>
      </c>
      <c r="B74" s="102"/>
      <c r="C74" s="101" t="s">
        <v>67</v>
      </c>
      <c r="D74" s="102"/>
      <c r="E74" s="102"/>
      <c r="F74" s="102"/>
      <c r="G74" s="102"/>
      <c r="H74" s="102"/>
      <c r="I74" s="101" t="s">
        <v>326</v>
      </c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1" t="s">
        <v>6</v>
      </c>
      <c r="AK74" s="102"/>
      <c r="AL74" s="103" t="s">
        <v>6</v>
      </c>
      <c r="AM74" s="104"/>
      <c r="AN74" s="104"/>
      <c r="AO74" s="104"/>
      <c r="AP74" s="104"/>
      <c r="AQ74" s="103" t="s">
        <v>6</v>
      </c>
      <c r="AR74" s="104"/>
      <c r="AS74" s="104"/>
      <c r="AT74" s="104"/>
      <c r="AU74" s="104"/>
      <c r="AV74" s="104"/>
      <c r="AW74" s="104"/>
      <c r="AX74" s="104"/>
      <c r="AY74" s="105">
        <f>SUM(AY75:AY79)</f>
        <v>0</v>
      </c>
      <c r="AZ74" s="104"/>
      <c r="BA74" s="104"/>
      <c r="BB74" s="104"/>
      <c r="BC74" s="104"/>
      <c r="BD74" s="104"/>
      <c r="BE74" s="104"/>
      <c r="BF74" s="104"/>
      <c r="BG74" s="103" t="s">
        <v>6</v>
      </c>
      <c r="BH74" s="104"/>
      <c r="BI74" s="104"/>
      <c r="BJ74" s="104"/>
      <c r="BK74" s="104"/>
      <c r="BL74" s="104"/>
      <c r="BM74" s="104"/>
      <c r="BN74" s="104"/>
      <c r="BO74" s="105">
        <f>SUM(BO75:BO79)</f>
        <v>3.4021600000000003</v>
      </c>
      <c r="BP74" s="104"/>
      <c r="BQ74" s="104"/>
      <c r="BR74" s="104"/>
      <c r="BS74" s="104"/>
      <c r="BT74" s="104"/>
      <c r="BU74" s="104"/>
      <c r="BV74" s="104"/>
    </row>
    <row r="75" spans="1:253" ht="12.75">
      <c r="A75" s="97" t="s">
        <v>54</v>
      </c>
      <c r="B75" s="98"/>
      <c r="C75" s="97" t="s">
        <v>172</v>
      </c>
      <c r="D75" s="98"/>
      <c r="E75" s="98"/>
      <c r="F75" s="98"/>
      <c r="G75" s="98"/>
      <c r="H75" s="98"/>
      <c r="I75" s="97" t="s">
        <v>327</v>
      </c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7" t="s">
        <v>448</v>
      </c>
      <c r="AK75" s="98"/>
      <c r="AL75" s="99">
        <f>'Stavební rozpočet'!F87</f>
        <v>16</v>
      </c>
      <c r="AM75" s="100"/>
      <c r="AN75" s="100"/>
      <c r="AO75" s="100"/>
      <c r="AP75" s="100"/>
      <c r="AQ75" s="99">
        <f>'Stavební rozpočet'!G87</f>
        <v>0</v>
      </c>
      <c r="AR75" s="100"/>
      <c r="AS75" s="100"/>
      <c r="AT75" s="100"/>
      <c r="AU75" s="100"/>
      <c r="AV75" s="100"/>
      <c r="AW75" s="100"/>
      <c r="AX75" s="100"/>
      <c r="AY75" s="99">
        <f>IR75*AL75+IS75*AL75</f>
        <v>0</v>
      </c>
      <c r="AZ75" s="100"/>
      <c r="BA75" s="100"/>
      <c r="BB75" s="100"/>
      <c r="BC75" s="100"/>
      <c r="BD75" s="100"/>
      <c r="BE75" s="100"/>
      <c r="BF75" s="100"/>
      <c r="BG75" s="99">
        <f>'Stavební rozpočet'!K87</f>
        <v>0.03781</v>
      </c>
      <c r="BH75" s="100"/>
      <c r="BI75" s="100"/>
      <c r="BJ75" s="100"/>
      <c r="BK75" s="100"/>
      <c r="BL75" s="100"/>
      <c r="BM75" s="100"/>
      <c r="BN75" s="100"/>
      <c r="BO75" s="99">
        <f>BG75*AL75</f>
        <v>0.60496</v>
      </c>
      <c r="BP75" s="100"/>
      <c r="BQ75" s="100"/>
      <c r="BR75" s="100"/>
      <c r="BS75" s="100"/>
      <c r="BT75" s="100"/>
      <c r="BU75" s="100"/>
      <c r="BV75" s="100"/>
      <c r="IR75" s="39">
        <f>AQ75*0.262271062271062</f>
        <v>0</v>
      </c>
      <c r="IS75" s="39">
        <f>AQ75*(1-0.262271062271062)</f>
        <v>0</v>
      </c>
    </row>
    <row r="76" spans="1:253" ht="12.75">
      <c r="A76" s="97" t="s">
        <v>55</v>
      </c>
      <c r="B76" s="98"/>
      <c r="C76" s="97" t="s">
        <v>173</v>
      </c>
      <c r="D76" s="98"/>
      <c r="E76" s="98"/>
      <c r="F76" s="98"/>
      <c r="G76" s="98"/>
      <c r="H76" s="98"/>
      <c r="I76" s="97" t="s">
        <v>328</v>
      </c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7" t="s">
        <v>442</v>
      </c>
      <c r="AK76" s="98"/>
      <c r="AL76" s="99">
        <f>'Stavební rozpočet'!F89</f>
        <v>24</v>
      </c>
      <c r="AM76" s="100"/>
      <c r="AN76" s="100"/>
      <c r="AO76" s="100"/>
      <c r="AP76" s="100"/>
      <c r="AQ76" s="99">
        <f>'Stavební rozpočet'!G89</f>
        <v>0</v>
      </c>
      <c r="AR76" s="100"/>
      <c r="AS76" s="100"/>
      <c r="AT76" s="100"/>
      <c r="AU76" s="100"/>
      <c r="AV76" s="100"/>
      <c r="AW76" s="100"/>
      <c r="AX76" s="100"/>
      <c r="AY76" s="99">
        <f>IR76*AL76+IS76*AL76</f>
        <v>0</v>
      </c>
      <c r="AZ76" s="100"/>
      <c r="BA76" s="100"/>
      <c r="BB76" s="100"/>
      <c r="BC76" s="100"/>
      <c r="BD76" s="100"/>
      <c r="BE76" s="100"/>
      <c r="BF76" s="100"/>
      <c r="BG76" s="99">
        <f>'Stavební rozpočet'!K89</f>
        <v>0.0339</v>
      </c>
      <c r="BH76" s="100"/>
      <c r="BI76" s="100"/>
      <c r="BJ76" s="100"/>
      <c r="BK76" s="100"/>
      <c r="BL76" s="100"/>
      <c r="BM76" s="100"/>
      <c r="BN76" s="100"/>
      <c r="BO76" s="99">
        <f>BG76*AL76</f>
        <v>0.8136</v>
      </c>
      <c r="BP76" s="100"/>
      <c r="BQ76" s="100"/>
      <c r="BR76" s="100"/>
      <c r="BS76" s="100"/>
      <c r="BT76" s="100"/>
      <c r="BU76" s="100"/>
      <c r="BV76" s="100"/>
      <c r="IR76" s="39">
        <f>AQ76*0.275045126353791</f>
        <v>0</v>
      </c>
      <c r="IS76" s="39">
        <f>AQ76*(1-0.275045126353791)</f>
        <v>0</v>
      </c>
    </row>
    <row r="77" spans="1:253" ht="12.75">
      <c r="A77" s="97" t="s">
        <v>56</v>
      </c>
      <c r="B77" s="98"/>
      <c r="C77" s="97" t="s">
        <v>174</v>
      </c>
      <c r="D77" s="98"/>
      <c r="E77" s="98"/>
      <c r="F77" s="98"/>
      <c r="G77" s="98"/>
      <c r="H77" s="98"/>
      <c r="I77" s="97" t="s">
        <v>330</v>
      </c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7" t="s">
        <v>442</v>
      </c>
      <c r="AK77" s="98"/>
      <c r="AL77" s="99">
        <f>'Stavební rozpočet'!F91</f>
        <v>18</v>
      </c>
      <c r="AM77" s="100"/>
      <c r="AN77" s="100"/>
      <c r="AO77" s="100"/>
      <c r="AP77" s="100"/>
      <c r="AQ77" s="99">
        <f>'Stavební rozpočet'!G91</f>
        <v>0</v>
      </c>
      <c r="AR77" s="100"/>
      <c r="AS77" s="100"/>
      <c r="AT77" s="100"/>
      <c r="AU77" s="100"/>
      <c r="AV77" s="100"/>
      <c r="AW77" s="100"/>
      <c r="AX77" s="100"/>
      <c r="AY77" s="99">
        <f>IR77*AL77+IS77*AL77</f>
        <v>0</v>
      </c>
      <c r="AZ77" s="100"/>
      <c r="BA77" s="100"/>
      <c r="BB77" s="100"/>
      <c r="BC77" s="100"/>
      <c r="BD77" s="100"/>
      <c r="BE77" s="100"/>
      <c r="BF77" s="100"/>
      <c r="BG77" s="99">
        <f>'Stavební rozpočet'!K91</f>
        <v>0</v>
      </c>
      <c r="BH77" s="100"/>
      <c r="BI77" s="100"/>
      <c r="BJ77" s="100"/>
      <c r="BK77" s="100"/>
      <c r="BL77" s="100"/>
      <c r="BM77" s="100"/>
      <c r="BN77" s="100"/>
      <c r="BO77" s="99">
        <f>BG77*AL77</f>
        <v>0</v>
      </c>
      <c r="BP77" s="100"/>
      <c r="BQ77" s="100"/>
      <c r="BR77" s="100"/>
      <c r="BS77" s="100"/>
      <c r="BT77" s="100"/>
      <c r="BU77" s="100"/>
      <c r="BV77" s="100"/>
      <c r="IR77" s="39">
        <f>AQ77*0</f>
        <v>0</v>
      </c>
      <c r="IS77" s="39">
        <f>AQ77*(1-0)</f>
        <v>0</v>
      </c>
    </row>
    <row r="78" spans="1:253" ht="12.75">
      <c r="A78" s="97" t="s">
        <v>57</v>
      </c>
      <c r="B78" s="98"/>
      <c r="C78" s="97" t="s">
        <v>175</v>
      </c>
      <c r="D78" s="98"/>
      <c r="E78" s="98"/>
      <c r="F78" s="98"/>
      <c r="G78" s="98"/>
      <c r="H78" s="98"/>
      <c r="I78" s="97" t="s">
        <v>331</v>
      </c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7" t="s">
        <v>442</v>
      </c>
      <c r="AK78" s="98"/>
      <c r="AL78" s="99">
        <f>'Stavební rozpočet'!F92</f>
        <v>90</v>
      </c>
      <c r="AM78" s="100"/>
      <c r="AN78" s="100"/>
      <c r="AO78" s="100"/>
      <c r="AP78" s="100"/>
      <c r="AQ78" s="99">
        <f>'Stavební rozpočet'!G92</f>
        <v>0</v>
      </c>
      <c r="AR78" s="100"/>
      <c r="AS78" s="100"/>
      <c r="AT78" s="100"/>
      <c r="AU78" s="100"/>
      <c r="AV78" s="100"/>
      <c r="AW78" s="100"/>
      <c r="AX78" s="100"/>
      <c r="AY78" s="99">
        <f>IR78*AL78+IS78*AL78</f>
        <v>0</v>
      </c>
      <c r="AZ78" s="100"/>
      <c r="BA78" s="100"/>
      <c r="BB78" s="100"/>
      <c r="BC78" s="100"/>
      <c r="BD78" s="100"/>
      <c r="BE78" s="100"/>
      <c r="BF78" s="100"/>
      <c r="BG78" s="99">
        <f>'Stavební rozpočet'!K92</f>
        <v>0.01646</v>
      </c>
      <c r="BH78" s="100"/>
      <c r="BI78" s="100"/>
      <c r="BJ78" s="100"/>
      <c r="BK78" s="100"/>
      <c r="BL78" s="100"/>
      <c r="BM78" s="100"/>
      <c r="BN78" s="100"/>
      <c r="BO78" s="99">
        <f>BG78*AL78</f>
        <v>1.4813999999999998</v>
      </c>
      <c r="BP78" s="100"/>
      <c r="BQ78" s="100"/>
      <c r="BR78" s="100"/>
      <c r="BS78" s="100"/>
      <c r="BT78" s="100"/>
      <c r="BU78" s="100"/>
      <c r="BV78" s="100"/>
      <c r="IR78" s="39">
        <f>AQ78*0.195982008995502</f>
        <v>0</v>
      </c>
      <c r="IS78" s="39">
        <f>AQ78*(1-0.195982008995502)</f>
        <v>0</v>
      </c>
    </row>
    <row r="79" spans="1:253" ht="12.75">
      <c r="A79" s="97" t="s">
        <v>58</v>
      </c>
      <c r="B79" s="98"/>
      <c r="C79" s="97" t="s">
        <v>176</v>
      </c>
      <c r="D79" s="98"/>
      <c r="E79" s="98"/>
      <c r="F79" s="98"/>
      <c r="G79" s="98"/>
      <c r="H79" s="98"/>
      <c r="I79" s="97" t="s">
        <v>332</v>
      </c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7" t="s">
        <v>442</v>
      </c>
      <c r="AK79" s="98"/>
      <c r="AL79" s="99">
        <f>'Stavební rozpočet'!F94</f>
        <v>27</v>
      </c>
      <c r="AM79" s="100"/>
      <c r="AN79" s="100"/>
      <c r="AO79" s="100"/>
      <c r="AP79" s="100"/>
      <c r="AQ79" s="99">
        <f>'Stavební rozpočet'!G94</f>
        <v>0</v>
      </c>
      <c r="AR79" s="100"/>
      <c r="AS79" s="100"/>
      <c r="AT79" s="100"/>
      <c r="AU79" s="100"/>
      <c r="AV79" s="100"/>
      <c r="AW79" s="100"/>
      <c r="AX79" s="100"/>
      <c r="AY79" s="99">
        <f>IR79*AL79+IS79*AL79</f>
        <v>0</v>
      </c>
      <c r="AZ79" s="100"/>
      <c r="BA79" s="100"/>
      <c r="BB79" s="100"/>
      <c r="BC79" s="100"/>
      <c r="BD79" s="100"/>
      <c r="BE79" s="100"/>
      <c r="BF79" s="100"/>
      <c r="BG79" s="99">
        <f>'Stavební rozpočet'!K94</f>
        <v>0.0186</v>
      </c>
      <c r="BH79" s="100"/>
      <c r="BI79" s="100"/>
      <c r="BJ79" s="100"/>
      <c r="BK79" s="100"/>
      <c r="BL79" s="100"/>
      <c r="BM79" s="100"/>
      <c r="BN79" s="100"/>
      <c r="BO79" s="99">
        <f>BG79*AL79</f>
        <v>0.5022</v>
      </c>
      <c r="BP79" s="100"/>
      <c r="BQ79" s="100"/>
      <c r="BR79" s="100"/>
      <c r="BS79" s="100"/>
      <c r="BT79" s="100"/>
      <c r="BU79" s="100"/>
      <c r="BV79" s="100"/>
      <c r="IR79" s="39">
        <f>AQ79*0.222924791086351</f>
        <v>0</v>
      </c>
      <c r="IS79" s="39">
        <f>AQ79*(1-0.222924791086351)</f>
        <v>0</v>
      </c>
    </row>
    <row r="80" spans="1:74" ht="12.75">
      <c r="A80" s="101" t="s">
        <v>6</v>
      </c>
      <c r="B80" s="102"/>
      <c r="C80" s="101" t="s">
        <v>68</v>
      </c>
      <c r="D80" s="102"/>
      <c r="E80" s="102"/>
      <c r="F80" s="102"/>
      <c r="G80" s="102"/>
      <c r="H80" s="102"/>
      <c r="I80" s="101" t="s">
        <v>333</v>
      </c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1" t="s">
        <v>6</v>
      </c>
      <c r="AK80" s="102"/>
      <c r="AL80" s="103" t="s">
        <v>6</v>
      </c>
      <c r="AM80" s="104"/>
      <c r="AN80" s="104"/>
      <c r="AO80" s="104"/>
      <c r="AP80" s="104"/>
      <c r="AQ80" s="103" t="s">
        <v>6</v>
      </c>
      <c r="AR80" s="104"/>
      <c r="AS80" s="104"/>
      <c r="AT80" s="104"/>
      <c r="AU80" s="104"/>
      <c r="AV80" s="104"/>
      <c r="AW80" s="104"/>
      <c r="AX80" s="104"/>
      <c r="AY80" s="105">
        <f>SUM(AY81:AY83)</f>
        <v>0</v>
      </c>
      <c r="AZ80" s="104"/>
      <c r="BA80" s="104"/>
      <c r="BB80" s="104"/>
      <c r="BC80" s="104"/>
      <c r="BD80" s="104"/>
      <c r="BE80" s="104"/>
      <c r="BF80" s="104"/>
      <c r="BG80" s="103" t="s">
        <v>6</v>
      </c>
      <c r="BH80" s="104"/>
      <c r="BI80" s="104"/>
      <c r="BJ80" s="104"/>
      <c r="BK80" s="104"/>
      <c r="BL80" s="104"/>
      <c r="BM80" s="104"/>
      <c r="BN80" s="104"/>
      <c r="BO80" s="105">
        <f>SUM(BO81:BO83)</f>
        <v>1.3110899999999999</v>
      </c>
      <c r="BP80" s="104"/>
      <c r="BQ80" s="104"/>
      <c r="BR80" s="104"/>
      <c r="BS80" s="104"/>
      <c r="BT80" s="104"/>
      <c r="BU80" s="104"/>
      <c r="BV80" s="104"/>
    </row>
    <row r="81" spans="1:253" ht="12.75">
      <c r="A81" s="97" t="s">
        <v>59</v>
      </c>
      <c r="B81" s="98"/>
      <c r="C81" s="97" t="s">
        <v>177</v>
      </c>
      <c r="D81" s="98"/>
      <c r="E81" s="98"/>
      <c r="F81" s="98"/>
      <c r="G81" s="98"/>
      <c r="H81" s="98"/>
      <c r="I81" s="97" t="s">
        <v>334</v>
      </c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7" t="s">
        <v>442</v>
      </c>
      <c r="AK81" s="98"/>
      <c r="AL81" s="99">
        <f>'Stavební rozpočet'!F97</f>
        <v>9</v>
      </c>
      <c r="AM81" s="100"/>
      <c r="AN81" s="100"/>
      <c r="AO81" s="100"/>
      <c r="AP81" s="100"/>
      <c r="AQ81" s="99">
        <f>'Stavební rozpočet'!G97</f>
        <v>0</v>
      </c>
      <c r="AR81" s="100"/>
      <c r="AS81" s="100"/>
      <c r="AT81" s="100"/>
      <c r="AU81" s="100"/>
      <c r="AV81" s="100"/>
      <c r="AW81" s="100"/>
      <c r="AX81" s="100"/>
      <c r="AY81" s="99">
        <f>IR81*AL81+IS81*AL81</f>
        <v>0</v>
      </c>
      <c r="AZ81" s="100"/>
      <c r="BA81" s="100"/>
      <c r="BB81" s="100"/>
      <c r="BC81" s="100"/>
      <c r="BD81" s="100"/>
      <c r="BE81" s="100"/>
      <c r="BF81" s="100"/>
      <c r="BG81" s="99">
        <f>'Stavební rozpočet'!K97</f>
        <v>0.05265</v>
      </c>
      <c r="BH81" s="100"/>
      <c r="BI81" s="100"/>
      <c r="BJ81" s="100"/>
      <c r="BK81" s="100"/>
      <c r="BL81" s="100"/>
      <c r="BM81" s="100"/>
      <c r="BN81" s="100"/>
      <c r="BO81" s="99">
        <f>BG81*AL81</f>
        <v>0.47385</v>
      </c>
      <c r="BP81" s="100"/>
      <c r="BQ81" s="100"/>
      <c r="BR81" s="100"/>
      <c r="BS81" s="100"/>
      <c r="BT81" s="100"/>
      <c r="BU81" s="100"/>
      <c r="BV81" s="100"/>
      <c r="IR81" s="39">
        <f>AQ81*0.131803652968037</f>
        <v>0</v>
      </c>
      <c r="IS81" s="39">
        <f>AQ81*(1-0.131803652968037)</f>
        <v>0</v>
      </c>
    </row>
    <row r="82" spans="1:253" ht="12.75">
      <c r="A82" s="97" t="s">
        <v>60</v>
      </c>
      <c r="B82" s="98"/>
      <c r="C82" s="97" t="s">
        <v>178</v>
      </c>
      <c r="D82" s="98"/>
      <c r="E82" s="98"/>
      <c r="F82" s="98"/>
      <c r="G82" s="98"/>
      <c r="H82" s="98"/>
      <c r="I82" s="97" t="s">
        <v>335</v>
      </c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7" t="s">
        <v>442</v>
      </c>
      <c r="AK82" s="98"/>
      <c r="AL82" s="99">
        <f>'Stavební rozpočet'!F98</f>
        <v>14</v>
      </c>
      <c r="AM82" s="100"/>
      <c r="AN82" s="100"/>
      <c r="AO82" s="100"/>
      <c r="AP82" s="100"/>
      <c r="AQ82" s="99">
        <f>'Stavební rozpočet'!G98</f>
        <v>0</v>
      </c>
      <c r="AR82" s="100"/>
      <c r="AS82" s="100"/>
      <c r="AT82" s="100"/>
      <c r="AU82" s="100"/>
      <c r="AV82" s="100"/>
      <c r="AW82" s="100"/>
      <c r="AX82" s="100"/>
      <c r="AY82" s="99">
        <f>IR82*AL82+IS82*AL82</f>
        <v>0</v>
      </c>
      <c r="AZ82" s="100"/>
      <c r="BA82" s="100"/>
      <c r="BB82" s="100"/>
      <c r="BC82" s="100"/>
      <c r="BD82" s="100"/>
      <c r="BE82" s="100"/>
      <c r="BF82" s="100"/>
      <c r="BG82" s="99">
        <f>'Stavební rozpočet'!K98</f>
        <v>0.05946</v>
      </c>
      <c r="BH82" s="100"/>
      <c r="BI82" s="100"/>
      <c r="BJ82" s="100"/>
      <c r="BK82" s="100"/>
      <c r="BL82" s="100"/>
      <c r="BM82" s="100"/>
      <c r="BN82" s="100"/>
      <c r="BO82" s="99">
        <f>BG82*AL82</f>
        <v>0.83244</v>
      </c>
      <c r="BP82" s="100"/>
      <c r="BQ82" s="100"/>
      <c r="BR82" s="100"/>
      <c r="BS82" s="100"/>
      <c r="BT82" s="100"/>
      <c r="BU82" s="100"/>
      <c r="BV82" s="100"/>
      <c r="IR82" s="39">
        <f>AQ82*0.13264680642393</f>
        <v>0</v>
      </c>
      <c r="IS82" s="39">
        <f>AQ82*(1-0.13264680642393)</f>
        <v>0</v>
      </c>
    </row>
    <row r="83" spans="1:253" ht="12.75">
      <c r="A83" s="97" t="s">
        <v>61</v>
      </c>
      <c r="B83" s="98"/>
      <c r="C83" s="97" t="s">
        <v>179</v>
      </c>
      <c r="D83" s="98"/>
      <c r="E83" s="98"/>
      <c r="F83" s="98"/>
      <c r="G83" s="98"/>
      <c r="H83" s="98"/>
      <c r="I83" s="97" t="s">
        <v>336</v>
      </c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7" t="s">
        <v>442</v>
      </c>
      <c r="AK83" s="98"/>
      <c r="AL83" s="99">
        <f>'Stavební rozpočet'!F99</f>
        <v>12</v>
      </c>
      <c r="AM83" s="100"/>
      <c r="AN83" s="100"/>
      <c r="AO83" s="100"/>
      <c r="AP83" s="100"/>
      <c r="AQ83" s="99">
        <f>'Stavební rozpočet'!G99</f>
        <v>0</v>
      </c>
      <c r="AR83" s="100"/>
      <c r="AS83" s="100"/>
      <c r="AT83" s="100"/>
      <c r="AU83" s="100"/>
      <c r="AV83" s="100"/>
      <c r="AW83" s="100"/>
      <c r="AX83" s="100"/>
      <c r="AY83" s="99">
        <f>IR83*AL83+IS83*AL83</f>
        <v>0</v>
      </c>
      <c r="AZ83" s="100"/>
      <c r="BA83" s="100"/>
      <c r="BB83" s="100"/>
      <c r="BC83" s="100"/>
      <c r="BD83" s="100"/>
      <c r="BE83" s="100"/>
      <c r="BF83" s="100"/>
      <c r="BG83" s="99">
        <f>'Stavební rozpočet'!K99</f>
        <v>0.0004</v>
      </c>
      <c r="BH83" s="100"/>
      <c r="BI83" s="100"/>
      <c r="BJ83" s="100"/>
      <c r="BK83" s="100"/>
      <c r="BL83" s="100"/>
      <c r="BM83" s="100"/>
      <c r="BN83" s="100"/>
      <c r="BO83" s="99">
        <f>BG83*AL83</f>
        <v>0.0048000000000000004</v>
      </c>
      <c r="BP83" s="100"/>
      <c r="BQ83" s="100"/>
      <c r="BR83" s="100"/>
      <c r="BS83" s="100"/>
      <c r="BT83" s="100"/>
      <c r="BU83" s="100"/>
      <c r="BV83" s="100"/>
      <c r="IR83" s="39">
        <f>AQ83*0.292857142857143</f>
        <v>0</v>
      </c>
      <c r="IS83" s="39">
        <f>AQ83*(1-0.292857142857143)</f>
        <v>0</v>
      </c>
    </row>
    <row r="84" spans="1:74" ht="12.75">
      <c r="A84" s="101" t="s">
        <v>6</v>
      </c>
      <c r="B84" s="102"/>
      <c r="C84" s="101" t="s">
        <v>69</v>
      </c>
      <c r="D84" s="102"/>
      <c r="E84" s="102"/>
      <c r="F84" s="102"/>
      <c r="G84" s="102"/>
      <c r="H84" s="102"/>
      <c r="I84" s="101" t="s">
        <v>337</v>
      </c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1" t="s">
        <v>6</v>
      </c>
      <c r="AK84" s="102"/>
      <c r="AL84" s="103" t="s">
        <v>6</v>
      </c>
      <c r="AM84" s="104"/>
      <c r="AN84" s="104"/>
      <c r="AO84" s="104"/>
      <c r="AP84" s="104"/>
      <c r="AQ84" s="103" t="s">
        <v>6</v>
      </c>
      <c r="AR84" s="104"/>
      <c r="AS84" s="104"/>
      <c r="AT84" s="104"/>
      <c r="AU84" s="104"/>
      <c r="AV84" s="104"/>
      <c r="AW84" s="104"/>
      <c r="AX84" s="104"/>
      <c r="AY84" s="105">
        <f>SUM(AY85:AY86)</f>
        <v>0</v>
      </c>
      <c r="AZ84" s="104"/>
      <c r="BA84" s="104"/>
      <c r="BB84" s="104"/>
      <c r="BC84" s="104"/>
      <c r="BD84" s="104"/>
      <c r="BE84" s="104"/>
      <c r="BF84" s="104"/>
      <c r="BG84" s="103" t="s">
        <v>6</v>
      </c>
      <c r="BH84" s="104"/>
      <c r="BI84" s="104"/>
      <c r="BJ84" s="104"/>
      <c r="BK84" s="104"/>
      <c r="BL84" s="104"/>
      <c r="BM84" s="104"/>
      <c r="BN84" s="104"/>
      <c r="BO84" s="105">
        <f>SUM(BO85:BO86)</f>
        <v>1.9796</v>
      </c>
      <c r="BP84" s="104"/>
      <c r="BQ84" s="104"/>
      <c r="BR84" s="104"/>
      <c r="BS84" s="104"/>
      <c r="BT84" s="104"/>
      <c r="BU84" s="104"/>
      <c r="BV84" s="104"/>
    </row>
    <row r="85" spans="1:253" ht="12.75">
      <c r="A85" s="97" t="s">
        <v>62</v>
      </c>
      <c r="B85" s="98"/>
      <c r="C85" s="97" t="s">
        <v>180</v>
      </c>
      <c r="D85" s="98"/>
      <c r="E85" s="98"/>
      <c r="F85" s="98"/>
      <c r="G85" s="98"/>
      <c r="H85" s="98"/>
      <c r="I85" s="97" t="s">
        <v>338</v>
      </c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7" t="s">
        <v>446</v>
      </c>
      <c r="AK85" s="98"/>
      <c r="AL85" s="99">
        <f>'Stavební rozpočet'!F101</f>
        <v>0.384</v>
      </c>
      <c r="AM85" s="100"/>
      <c r="AN85" s="100"/>
      <c r="AO85" s="100"/>
      <c r="AP85" s="100"/>
      <c r="AQ85" s="99">
        <f>'Stavební rozpočet'!G101</f>
        <v>0</v>
      </c>
      <c r="AR85" s="100"/>
      <c r="AS85" s="100"/>
      <c r="AT85" s="100"/>
      <c r="AU85" s="100"/>
      <c r="AV85" s="100"/>
      <c r="AW85" s="100"/>
      <c r="AX85" s="100"/>
      <c r="AY85" s="99">
        <f>IR85*AL85+IS85*AL85</f>
        <v>0</v>
      </c>
      <c r="AZ85" s="100"/>
      <c r="BA85" s="100"/>
      <c r="BB85" s="100"/>
      <c r="BC85" s="100"/>
      <c r="BD85" s="100"/>
      <c r="BE85" s="100"/>
      <c r="BF85" s="100"/>
      <c r="BG85" s="99">
        <f>'Stavební rozpočet'!K101</f>
        <v>2.525</v>
      </c>
      <c r="BH85" s="100"/>
      <c r="BI85" s="100"/>
      <c r="BJ85" s="100"/>
      <c r="BK85" s="100"/>
      <c r="BL85" s="100"/>
      <c r="BM85" s="100"/>
      <c r="BN85" s="100"/>
      <c r="BO85" s="99">
        <f>BG85*AL85</f>
        <v>0.9696</v>
      </c>
      <c r="BP85" s="100"/>
      <c r="BQ85" s="100"/>
      <c r="BR85" s="100"/>
      <c r="BS85" s="100"/>
      <c r="BT85" s="100"/>
      <c r="BU85" s="100"/>
      <c r="BV85" s="100"/>
      <c r="IR85" s="39">
        <f>AQ85*0.69801579778831</f>
        <v>0</v>
      </c>
      <c r="IS85" s="39">
        <f>AQ85*(1-0.69801579778831)</f>
        <v>0</v>
      </c>
    </row>
    <row r="86" spans="1:253" ht="12.75">
      <c r="A86" s="97" t="s">
        <v>63</v>
      </c>
      <c r="B86" s="98"/>
      <c r="C86" s="97" t="s">
        <v>181</v>
      </c>
      <c r="D86" s="98"/>
      <c r="E86" s="98"/>
      <c r="F86" s="98"/>
      <c r="G86" s="98"/>
      <c r="H86" s="98"/>
      <c r="I86" s="97" t="s">
        <v>340</v>
      </c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7" t="s">
        <v>446</v>
      </c>
      <c r="AK86" s="98"/>
      <c r="AL86" s="99">
        <f>'Stavební rozpočet'!F103</f>
        <v>0.4</v>
      </c>
      <c r="AM86" s="100"/>
      <c r="AN86" s="100"/>
      <c r="AO86" s="100"/>
      <c r="AP86" s="100"/>
      <c r="AQ86" s="99">
        <f>'Stavební rozpočet'!G103</f>
        <v>0</v>
      </c>
      <c r="AR86" s="100"/>
      <c r="AS86" s="100"/>
      <c r="AT86" s="100"/>
      <c r="AU86" s="100"/>
      <c r="AV86" s="100"/>
      <c r="AW86" s="100"/>
      <c r="AX86" s="100"/>
      <c r="AY86" s="99">
        <f>IR86*AL86+IS86*AL86</f>
        <v>0</v>
      </c>
      <c r="AZ86" s="100"/>
      <c r="BA86" s="100"/>
      <c r="BB86" s="100"/>
      <c r="BC86" s="100"/>
      <c r="BD86" s="100"/>
      <c r="BE86" s="100"/>
      <c r="BF86" s="100"/>
      <c r="BG86" s="99">
        <f>'Stavební rozpočet'!K103</f>
        <v>2.525</v>
      </c>
      <c r="BH86" s="100"/>
      <c r="BI86" s="100"/>
      <c r="BJ86" s="100"/>
      <c r="BK86" s="100"/>
      <c r="BL86" s="100"/>
      <c r="BM86" s="100"/>
      <c r="BN86" s="100"/>
      <c r="BO86" s="99">
        <f>BG86*AL86</f>
        <v>1.01</v>
      </c>
      <c r="BP86" s="100"/>
      <c r="BQ86" s="100"/>
      <c r="BR86" s="100"/>
      <c r="BS86" s="100"/>
      <c r="BT86" s="100"/>
      <c r="BU86" s="100"/>
      <c r="BV86" s="100"/>
      <c r="IR86" s="39">
        <f>AQ86*0.704550231839258</f>
        <v>0</v>
      </c>
      <c r="IS86" s="39">
        <f>AQ86*(1-0.704550231839258)</f>
        <v>0</v>
      </c>
    </row>
    <row r="87" spans="1:74" ht="12.75">
      <c r="A87" s="101" t="s">
        <v>6</v>
      </c>
      <c r="B87" s="102"/>
      <c r="C87" s="101" t="s">
        <v>70</v>
      </c>
      <c r="D87" s="102"/>
      <c r="E87" s="102"/>
      <c r="F87" s="102"/>
      <c r="G87" s="102"/>
      <c r="H87" s="102"/>
      <c r="I87" s="101" t="s">
        <v>341</v>
      </c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1" t="s">
        <v>6</v>
      </c>
      <c r="AK87" s="102"/>
      <c r="AL87" s="103" t="s">
        <v>6</v>
      </c>
      <c r="AM87" s="104"/>
      <c r="AN87" s="104"/>
      <c r="AO87" s="104"/>
      <c r="AP87" s="104"/>
      <c r="AQ87" s="103" t="s">
        <v>6</v>
      </c>
      <c r="AR87" s="104"/>
      <c r="AS87" s="104"/>
      <c r="AT87" s="104"/>
      <c r="AU87" s="104"/>
      <c r="AV87" s="104"/>
      <c r="AW87" s="104"/>
      <c r="AX87" s="104"/>
      <c r="AY87" s="105">
        <f>SUM(AY88:AY88)</f>
        <v>0</v>
      </c>
      <c r="AZ87" s="104"/>
      <c r="BA87" s="104"/>
      <c r="BB87" s="104"/>
      <c r="BC87" s="104"/>
      <c r="BD87" s="104"/>
      <c r="BE87" s="104"/>
      <c r="BF87" s="104"/>
      <c r="BG87" s="103" t="s">
        <v>6</v>
      </c>
      <c r="BH87" s="104"/>
      <c r="BI87" s="104"/>
      <c r="BJ87" s="104"/>
      <c r="BK87" s="104"/>
      <c r="BL87" s="104"/>
      <c r="BM87" s="104"/>
      <c r="BN87" s="104"/>
      <c r="BO87" s="105">
        <f>SUM(BO88:BO88)</f>
        <v>0.06166</v>
      </c>
      <c r="BP87" s="104"/>
      <c r="BQ87" s="104"/>
      <c r="BR87" s="104"/>
      <c r="BS87" s="104"/>
      <c r="BT87" s="104"/>
      <c r="BU87" s="104"/>
      <c r="BV87" s="104"/>
    </row>
    <row r="88" spans="1:253" ht="12.75">
      <c r="A88" s="97" t="s">
        <v>64</v>
      </c>
      <c r="B88" s="98"/>
      <c r="C88" s="97" t="s">
        <v>182</v>
      </c>
      <c r="D88" s="98"/>
      <c r="E88" s="98"/>
      <c r="F88" s="98"/>
      <c r="G88" s="98"/>
      <c r="H88" s="98"/>
      <c r="I88" s="97" t="s">
        <v>342</v>
      </c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7" t="s">
        <v>448</v>
      </c>
      <c r="AK88" s="98"/>
      <c r="AL88" s="99">
        <f>'Stavební rozpočet'!F106</f>
        <v>2</v>
      </c>
      <c r="AM88" s="100"/>
      <c r="AN88" s="100"/>
      <c r="AO88" s="100"/>
      <c r="AP88" s="100"/>
      <c r="AQ88" s="99">
        <f>'Stavební rozpočet'!G106</f>
        <v>0</v>
      </c>
      <c r="AR88" s="100"/>
      <c r="AS88" s="100"/>
      <c r="AT88" s="100"/>
      <c r="AU88" s="100"/>
      <c r="AV88" s="100"/>
      <c r="AW88" s="100"/>
      <c r="AX88" s="100"/>
      <c r="AY88" s="99">
        <f>IR88*AL88+IS88*AL88</f>
        <v>0</v>
      </c>
      <c r="AZ88" s="100"/>
      <c r="BA88" s="100"/>
      <c r="BB88" s="100"/>
      <c r="BC88" s="100"/>
      <c r="BD88" s="100"/>
      <c r="BE88" s="100"/>
      <c r="BF88" s="100"/>
      <c r="BG88" s="99">
        <f>'Stavební rozpočet'!K106</f>
        <v>0.03083</v>
      </c>
      <c r="BH88" s="100"/>
      <c r="BI88" s="100"/>
      <c r="BJ88" s="100"/>
      <c r="BK88" s="100"/>
      <c r="BL88" s="100"/>
      <c r="BM88" s="100"/>
      <c r="BN88" s="100"/>
      <c r="BO88" s="99">
        <f>BG88*AL88</f>
        <v>0.06166</v>
      </c>
      <c r="BP88" s="100"/>
      <c r="BQ88" s="100"/>
      <c r="BR88" s="100"/>
      <c r="BS88" s="100"/>
      <c r="BT88" s="100"/>
      <c r="BU88" s="100"/>
      <c r="BV88" s="100"/>
      <c r="IR88" s="39">
        <f>AQ88*0.534739901258016</f>
        <v>0</v>
      </c>
      <c r="IS88" s="39">
        <f>AQ88*(1-0.534739901258016)</f>
        <v>0</v>
      </c>
    </row>
    <row r="89" spans="1:74" ht="12.75">
      <c r="A89" s="101" t="s">
        <v>6</v>
      </c>
      <c r="B89" s="102"/>
      <c r="C89" s="101" t="s">
        <v>183</v>
      </c>
      <c r="D89" s="102"/>
      <c r="E89" s="102"/>
      <c r="F89" s="102"/>
      <c r="G89" s="102"/>
      <c r="H89" s="102"/>
      <c r="I89" s="101" t="s">
        <v>344</v>
      </c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1" t="s">
        <v>6</v>
      </c>
      <c r="AK89" s="102"/>
      <c r="AL89" s="103" t="s">
        <v>6</v>
      </c>
      <c r="AM89" s="104"/>
      <c r="AN89" s="104"/>
      <c r="AO89" s="104"/>
      <c r="AP89" s="104"/>
      <c r="AQ89" s="103" t="s">
        <v>6</v>
      </c>
      <c r="AR89" s="104"/>
      <c r="AS89" s="104"/>
      <c r="AT89" s="104"/>
      <c r="AU89" s="104"/>
      <c r="AV89" s="104"/>
      <c r="AW89" s="104"/>
      <c r="AX89" s="104"/>
      <c r="AY89" s="105">
        <f>SUM(AY90:AY92)</f>
        <v>0</v>
      </c>
      <c r="AZ89" s="104"/>
      <c r="BA89" s="104"/>
      <c r="BB89" s="104"/>
      <c r="BC89" s="104"/>
      <c r="BD89" s="104"/>
      <c r="BE89" s="104"/>
      <c r="BF89" s="104"/>
      <c r="BG89" s="103" t="s">
        <v>6</v>
      </c>
      <c r="BH89" s="104"/>
      <c r="BI89" s="104"/>
      <c r="BJ89" s="104"/>
      <c r="BK89" s="104"/>
      <c r="BL89" s="104"/>
      <c r="BM89" s="104"/>
      <c r="BN89" s="104"/>
      <c r="BO89" s="105">
        <f>SUM(BO90:BO92)</f>
        <v>0.11142</v>
      </c>
      <c r="BP89" s="104"/>
      <c r="BQ89" s="104"/>
      <c r="BR89" s="104"/>
      <c r="BS89" s="104"/>
      <c r="BT89" s="104"/>
      <c r="BU89" s="104"/>
      <c r="BV89" s="104"/>
    </row>
    <row r="90" spans="1:253" ht="12.75">
      <c r="A90" s="97" t="s">
        <v>65</v>
      </c>
      <c r="B90" s="98"/>
      <c r="C90" s="97" t="s">
        <v>184</v>
      </c>
      <c r="D90" s="98"/>
      <c r="E90" s="98"/>
      <c r="F90" s="98"/>
      <c r="G90" s="98"/>
      <c r="H90" s="98"/>
      <c r="I90" s="97" t="s">
        <v>345</v>
      </c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7" t="s">
        <v>442</v>
      </c>
      <c r="AK90" s="98"/>
      <c r="AL90" s="99">
        <f>'Stavební rozpočet'!F109</f>
        <v>9</v>
      </c>
      <c r="AM90" s="100"/>
      <c r="AN90" s="100"/>
      <c r="AO90" s="100"/>
      <c r="AP90" s="100"/>
      <c r="AQ90" s="99">
        <f>'Stavební rozpočet'!G109</f>
        <v>0</v>
      </c>
      <c r="AR90" s="100"/>
      <c r="AS90" s="100"/>
      <c r="AT90" s="100"/>
      <c r="AU90" s="100"/>
      <c r="AV90" s="100"/>
      <c r="AW90" s="100"/>
      <c r="AX90" s="100"/>
      <c r="AY90" s="99">
        <f>IR90*AL90+IS90*AL90</f>
        <v>0</v>
      </c>
      <c r="AZ90" s="100"/>
      <c r="BA90" s="100"/>
      <c r="BB90" s="100"/>
      <c r="BC90" s="100"/>
      <c r="BD90" s="100"/>
      <c r="BE90" s="100"/>
      <c r="BF90" s="100"/>
      <c r="BG90" s="99">
        <f>'Stavební rozpočet'!K109</f>
        <v>0.00042</v>
      </c>
      <c r="BH90" s="100"/>
      <c r="BI90" s="100"/>
      <c r="BJ90" s="100"/>
      <c r="BK90" s="100"/>
      <c r="BL90" s="100"/>
      <c r="BM90" s="100"/>
      <c r="BN90" s="100"/>
      <c r="BO90" s="99">
        <f>BG90*AL90</f>
        <v>0.0037800000000000004</v>
      </c>
      <c r="BP90" s="100"/>
      <c r="BQ90" s="100"/>
      <c r="BR90" s="100"/>
      <c r="BS90" s="100"/>
      <c r="BT90" s="100"/>
      <c r="BU90" s="100"/>
      <c r="BV90" s="100"/>
      <c r="IR90" s="39">
        <f>AQ90*0.50210970464135</f>
        <v>0</v>
      </c>
      <c r="IS90" s="39">
        <f>AQ90*(1-0.50210970464135)</f>
        <v>0</v>
      </c>
    </row>
    <row r="91" spans="1:253" ht="12.75">
      <c r="A91" s="97" t="s">
        <v>66</v>
      </c>
      <c r="B91" s="98"/>
      <c r="C91" s="97" t="s">
        <v>185</v>
      </c>
      <c r="D91" s="98"/>
      <c r="E91" s="98"/>
      <c r="F91" s="98"/>
      <c r="G91" s="98"/>
      <c r="H91" s="98"/>
      <c r="I91" s="97" t="s">
        <v>347</v>
      </c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7" t="s">
        <v>442</v>
      </c>
      <c r="AK91" s="98"/>
      <c r="AL91" s="99">
        <f>'Stavební rozpočet'!F111</f>
        <v>9</v>
      </c>
      <c r="AM91" s="100"/>
      <c r="AN91" s="100"/>
      <c r="AO91" s="100"/>
      <c r="AP91" s="100"/>
      <c r="AQ91" s="99">
        <f>'Stavební rozpočet'!G111</f>
        <v>0</v>
      </c>
      <c r="AR91" s="100"/>
      <c r="AS91" s="100"/>
      <c r="AT91" s="100"/>
      <c r="AU91" s="100"/>
      <c r="AV91" s="100"/>
      <c r="AW91" s="100"/>
      <c r="AX91" s="100"/>
      <c r="AY91" s="99">
        <f>IR91*AL91+IS91*AL91</f>
        <v>0</v>
      </c>
      <c r="AZ91" s="100"/>
      <c r="BA91" s="100"/>
      <c r="BB91" s="100"/>
      <c r="BC91" s="100"/>
      <c r="BD91" s="100"/>
      <c r="BE91" s="100"/>
      <c r="BF91" s="100"/>
      <c r="BG91" s="99">
        <f>'Stavební rozpočet'!K111</f>
        <v>0.01179</v>
      </c>
      <c r="BH91" s="100"/>
      <c r="BI91" s="100"/>
      <c r="BJ91" s="100"/>
      <c r="BK91" s="100"/>
      <c r="BL91" s="100"/>
      <c r="BM91" s="100"/>
      <c r="BN91" s="100"/>
      <c r="BO91" s="99">
        <f>BG91*AL91</f>
        <v>0.10611</v>
      </c>
      <c r="BP91" s="100"/>
      <c r="BQ91" s="100"/>
      <c r="BR91" s="100"/>
      <c r="BS91" s="100"/>
      <c r="BT91" s="100"/>
      <c r="BU91" s="100"/>
      <c r="BV91" s="100"/>
      <c r="IR91" s="39">
        <f>AQ91*0.516939890710383</f>
        <v>0</v>
      </c>
      <c r="IS91" s="39">
        <f>AQ91*(1-0.516939890710383)</f>
        <v>0</v>
      </c>
    </row>
    <row r="92" spans="1:253" ht="12.75">
      <c r="A92" s="97" t="s">
        <v>67</v>
      </c>
      <c r="B92" s="98"/>
      <c r="C92" s="97" t="s">
        <v>186</v>
      </c>
      <c r="D92" s="98"/>
      <c r="E92" s="98"/>
      <c r="F92" s="98"/>
      <c r="G92" s="98"/>
      <c r="H92" s="98"/>
      <c r="I92" s="97" t="s">
        <v>349</v>
      </c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7" t="s">
        <v>442</v>
      </c>
      <c r="AK92" s="98"/>
      <c r="AL92" s="99">
        <f>'Stavební rozpočet'!F113</f>
        <v>9</v>
      </c>
      <c r="AM92" s="100"/>
      <c r="AN92" s="100"/>
      <c r="AO92" s="100"/>
      <c r="AP92" s="100"/>
      <c r="AQ92" s="99">
        <f>'Stavební rozpočet'!G113</f>
        <v>0</v>
      </c>
      <c r="AR92" s="100"/>
      <c r="AS92" s="100"/>
      <c r="AT92" s="100"/>
      <c r="AU92" s="100"/>
      <c r="AV92" s="100"/>
      <c r="AW92" s="100"/>
      <c r="AX92" s="100"/>
      <c r="AY92" s="99">
        <f>IR92*AL92+IS92*AL92</f>
        <v>0</v>
      </c>
      <c r="AZ92" s="100"/>
      <c r="BA92" s="100"/>
      <c r="BB92" s="100"/>
      <c r="BC92" s="100"/>
      <c r="BD92" s="100"/>
      <c r="BE92" s="100"/>
      <c r="BF92" s="100"/>
      <c r="BG92" s="99">
        <f>'Stavební rozpočet'!K113</f>
        <v>0.00017</v>
      </c>
      <c r="BH92" s="100"/>
      <c r="BI92" s="100"/>
      <c r="BJ92" s="100"/>
      <c r="BK92" s="100"/>
      <c r="BL92" s="100"/>
      <c r="BM92" s="100"/>
      <c r="BN92" s="100"/>
      <c r="BO92" s="99">
        <f>BG92*AL92</f>
        <v>0.0015300000000000001</v>
      </c>
      <c r="BP92" s="100"/>
      <c r="BQ92" s="100"/>
      <c r="BR92" s="100"/>
      <c r="BS92" s="100"/>
      <c r="BT92" s="100"/>
      <c r="BU92" s="100"/>
      <c r="BV92" s="100"/>
      <c r="IR92" s="39">
        <f>AQ92*0.185321100917431</f>
        <v>0</v>
      </c>
      <c r="IS92" s="39">
        <f>AQ92*(1-0.185321100917431)</f>
        <v>0</v>
      </c>
    </row>
    <row r="93" spans="1:74" ht="12.75">
      <c r="A93" s="101" t="s">
        <v>6</v>
      </c>
      <c r="B93" s="102"/>
      <c r="C93" s="101" t="s">
        <v>187</v>
      </c>
      <c r="D93" s="102"/>
      <c r="E93" s="102"/>
      <c r="F93" s="102"/>
      <c r="G93" s="102"/>
      <c r="H93" s="102"/>
      <c r="I93" s="101" t="s">
        <v>351</v>
      </c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1" t="s">
        <v>6</v>
      </c>
      <c r="AK93" s="102"/>
      <c r="AL93" s="103" t="s">
        <v>6</v>
      </c>
      <c r="AM93" s="104"/>
      <c r="AN93" s="104"/>
      <c r="AO93" s="104"/>
      <c r="AP93" s="104"/>
      <c r="AQ93" s="103" t="s">
        <v>6</v>
      </c>
      <c r="AR93" s="104"/>
      <c r="AS93" s="104"/>
      <c r="AT93" s="104"/>
      <c r="AU93" s="104"/>
      <c r="AV93" s="104"/>
      <c r="AW93" s="104"/>
      <c r="AX93" s="104"/>
      <c r="AY93" s="105">
        <f>SUM(AY94:AY94)</f>
        <v>0</v>
      </c>
      <c r="AZ93" s="104"/>
      <c r="BA93" s="104"/>
      <c r="BB93" s="104"/>
      <c r="BC93" s="104"/>
      <c r="BD93" s="104"/>
      <c r="BE93" s="104"/>
      <c r="BF93" s="104"/>
      <c r="BG93" s="103" t="s">
        <v>6</v>
      </c>
      <c r="BH93" s="104"/>
      <c r="BI93" s="104"/>
      <c r="BJ93" s="104"/>
      <c r="BK93" s="104"/>
      <c r="BL93" s="104"/>
      <c r="BM93" s="104"/>
      <c r="BN93" s="104"/>
      <c r="BO93" s="105">
        <f>SUM(BO94:BO94)</f>
        <v>0.00768</v>
      </c>
      <c r="BP93" s="104"/>
      <c r="BQ93" s="104"/>
      <c r="BR93" s="104"/>
      <c r="BS93" s="104"/>
      <c r="BT93" s="104"/>
      <c r="BU93" s="104"/>
      <c r="BV93" s="104"/>
    </row>
    <row r="94" spans="1:253" ht="12.75">
      <c r="A94" s="97" t="s">
        <v>68</v>
      </c>
      <c r="B94" s="98"/>
      <c r="C94" s="97" t="s">
        <v>188</v>
      </c>
      <c r="D94" s="98"/>
      <c r="E94" s="98"/>
      <c r="F94" s="98"/>
      <c r="G94" s="98"/>
      <c r="H94" s="98"/>
      <c r="I94" s="97" t="s">
        <v>352</v>
      </c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7" t="s">
        <v>442</v>
      </c>
      <c r="AK94" s="98"/>
      <c r="AL94" s="99">
        <f>'Stavební rozpočet'!F116</f>
        <v>2.56</v>
      </c>
      <c r="AM94" s="100"/>
      <c r="AN94" s="100"/>
      <c r="AO94" s="100"/>
      <c r="AP94" s="100"/>
      <c r="AQ94" s="99">
        <f>'Stavební rozpočet'!G116</f>
        <v>0</v>
      </c>
      <c r="AR94" s="100"/>
      <c r="AS94" s="100"/>
      <c r="AT94" s="100"/>
      <c r="AU94" s="100"/>
      <c r="AV94" s="100"/>
      <c r="AW94" s="100"/>
      <c r="AX94" s="100"/>
      <c r="AY94" s="99">
        <f>IR94*AL94+IS94*AL94</f>
        <v>0</v>
      </c>
      <c r="AZ94" s="100"/>
      <c r="BA94" s="100"/>
      <c r="BB94" s="100"/>
      <c r="BC94" s="100"/>
      <c r="BD94" s="100"/>
      <c r="BE94" s="100"/>
      <c r="BF94" s="100"/>
      <c r="BG94" s="99">
        <f>'Stavební rozpočet'!K116</f>
        <v>0.003</v>
      </c>
      <c r="BH94" s="100"/>
      <c r="BI94" s="100"/>
      <c r="BJ94" s="100"/>
      <c r="BK94" s="100"/>
      <c r="BL94" s="100"/>
      <c r="BM94" s="100"/>
      <c r="BN94" s="100"/>
      <c r="BO94" s="99">
        <f>BG94*AL94</f>
        <v>0.00768</v>
      </c>
      <c r="BP94" s="100"/>
      <c r="BQ94" s="100"/>
      <c r="BR94" s="100"/>
      <c r="BS94" s="100"/>
      <c r="BT94" s="100"/>
      <c r="BU94" s="100"/>
      <c r="BV94" s="100"/>
      <c r="IR94" s="39">
        <f>AQ94*0.0661967089760599</f>
        <v>0</v>
      </c>
      <c r="IS94" s="39">
        <f>AQ94*(1-0.0661967089760599)</f>
        <v>0</v>
      </c>
    </row>
    <row r="95" spans="1:74" ht="12.75">
      <c r="A95" s="101" t="s">
        <v>6</v>
      </c>
      <c r="B95" s="102"/>
      <c r="C95" s="101" t="s">
        <v>189</v>
      </c>
      <c r="D95" s="102"/>
      <c r="E95" s="102"/>
      <c r="F95" s="102"/>
      <c r="G95" s="102"/>
      <c r="H95" s="102"/>
      <c r="I95" s="101" t="s">
        <v>353</v>
      </c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1" t="s">
        <v>6</v>
      </c>
      <c r="AK95" s="102"/>
      <c r="AL95" s="103" t="s">
        <v>6</v>
      </c>
      <c r="AM95" s="104"/>
      <c r="AN95" s="104"/>
      <c r="AO95" s="104"/>
      <c r="AP95" s="104"/>
      <c r="AQ95" s="103" t="s">
        <v>6</v>
      </c>
      <c r="AR95" s="104"/>
      <c r="AS95" s="104"/>
      <c r="AT95" s="104"/>
      <c r="AU95" s="104"/>
      <c r="AV95" s="104"/>
      <c r="AW95" s="104"/>
      <c r="AX95" s="104"/>
      <c r="AY95" s="105">
        <f>SUM(AY96:AY96)</f>
        <v>0</v>
      </c>
      <c r="AZ95" s="104"/>
      <c r="BA95" s="104"/>
      <c r="BB95" s="104"/>
      <c r="BC95" s="104"/>
      <c r="BD95" s="104"/>
      <c r="BE95" s="104"/>
      <c r="BF95" s="104"/>
      <c r="BG95" s="103" t="s">
        <v>6</v>
      </c>
      <c r="BH95" s="104"/>
      <c r="BI95" s="104"/>
      <c r="BJ95" s="104"/>
      <c r="BK95" s="104"/>
      <c r="BL95" s="104"/>
      <c r="BM95" s="104"/>
      <c r="BN95" s="104"/>
      <c r="BO95" s="105">
        <f>SUM(BO96:BO96)</f>
        <v>0.0171</v>
      </c>
      <c r="BP95" s="104"/>
      <c r="BQ95" s="104"/>
      <c r="BR95" s="104"/>
      <c r="BS95" s="104"/>
      <c r="BT95" s="104"/>
      <c r="BU95" s="104"/>
      <c r="BV95" s="104"/>
    </row>
    <row r="96" spans="1:253" ht="12.75">
      <c r="A96" s="97" t="s">
        <v>69</v>
      </c>
      <c r="B96" s="98"/>
      <c r="C96" s="97" t="s">
        <v>190</v>
      </c>
      <c r="D96" s="98"/>
      <c r="E96" s="98"/>
      <c r="F96" s="98"/>
      <c r="G96" s="98"/>
      <c r="H96" s="98"/>
      <c r="I96" s="97" t="s">
        <v>354</v>
      </c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7" t="s">
        <v>443</v>
      </c>
      <c r="AK96" s="98"/>
      <c r="AL96" s="99">
        <f>'Stavební rozpočet'!F118</f>
        <v>6</v>
      </c>
      <c r="AM96" s="100"/>
      <c r="AN96" s="100"/>
      <c r="AO96" s="100"/>
      <c r="AP96" s="100"/>
      <c r="AQ96" s="99">
        <f>'Stavební rozpočet'!G118</f>
        <v>0</v>
      </c>
      <c r="AR96" s="100"/>
      <c r="AS96" s="100"/>
      <c r="AT96" s="100"/>
      <c r="AU96" s="100"/>
      <c r="AV96" s="100"/>
      <c r="AW96" s="100"/>
      <c r="AX96" s="100"/>
      <c r="AY96" s="99">
        <f>IR96*AL96+IS96*AL96</f>
        <v>0</v>
      </c>
      <c r="AZ96" s="100"/>
      <c r="BA96" s="100"/>
      <c r="BB96" s="100"/>
      <c r="BC96" s="100"/>
      <c r="BD96" s="100"/>
      <c r="BE96" s="100"/>
      <c r="BF96" s="100"/>
      <c r="BG96" s="99">
        <f>'Stavební rozpočet'!K118</f>
        <v>0.00285</v>
      </c>
      <c r="BH96" s="100"/>
      <c r="BI96" s="100"/>
      <c r="BJ96" s="100"/>
      <c r="BK96" s="100"/>
      <c r="BL96" s="100"/>
      <c r="BM96" s="100"/>
      <c r="BN96" s="100"/>
      <c r="BO96" s="99">
        <f>BG96*AL96</f>
        <v>0.0171</v>
      </c>
      <c r="BP96" s="100"/>
      <c r="BQ96" s="100"/>
      <c r="BR96" s="100"/>
      <c r="BS96" s="100"/>
      <c r="BT96" s="100"/>
      <c r="BU96" s="100"/>
      <c r="BV96" s="100"/>
      <c r="IR96" s="39">
        <f>AQ96*0.524315962486706</f>
        <v>0</v>
      </c>
      <c r="IS96" s="39">
        <f>AQ96*(1-0.524315962486706)</f>
        <v>0</v>
      </c>
    </row>
    <row r="97" spans="1:74" ht="12.75">
      <c r="A97" s="101" t="s">
        <v>6</v>
      </c>
      <c r="B97" s="102"/>
      <c r="C97" s="101" t="s">
        <v>191</v>
      </c>
      <c r="D97" s="102"/>
      <c r="E97" s="102"/>
      <c r="F97" s="102"/>
      <c r="G97" s="102"/>
      <c r="H97" s="102"/>
      <c r="I97" s="101" t="s">
        <v>355</v>
      </c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1" t="s">
        <v>6</v>
      </c>
      <c r="AK97" s="102"/>
      <c r="AL97" s="103" t="s">
        <v>6</v>
      </c>
      <c r="AM97" s="104"/>
      <c r="AN97" s="104"/>
      <c r="AO97" s="104"/>
      <c r="AP97" s="104"/>
      <c r="AQ97" s="103" t="s">
        <v>6</v>
      </c>
      <c r="AR97" s="104"/>
      <c r="AS97" s="104"/>
      <c r="AT97" s="104"/>
      <c r="AU97" s="104"/>
      <c r="AV97" s="104"/>
      <c r="AW97" s="104"/>
      <c r="AX97" s="104"/>
      <c r="AY97" s="105">
        <f>SUM(AY98:AY102)</f>
        <v>0</v>
      </c>
      <c r="AZ97" s="104"/>
      <c r="BA97" s="104"/>
      <c r="BB97" s="104"/>
      <c r="BC97" s="104"/>
      <c r="BD97" s="104"/>
      <c r="BE97" s="104"/>
      <c r="BF97" s="104"/>
      <c r="BG97" s="103" t="s">
        <v>6</v>
      </c>
      <c r="BH97" s="104"/>
      <c r="BI97" s="104"/>
      <c r="BJ97" s="104"/>
      <c r="BK97" s="104"/>
      <c r="BL97" s="104"/>
      <c r="BM97" s="104"/>
      <c r="BN97" s="104"/>
      <c r="BO97" s="105">
        <f>SUM(BO98:BO102)</f>
        <v>0</v>
      </c>
      <c r="BP97" s="104"/>
      <c r="BQ97" s="104"/>
      <c r="BR97" s="104"/>
      <c r="BS97" s="104"/>
      <c r="BT97" s="104"/>
      <c r="BU97" s="104"/>
      <c r="BV97" s="104"/>
    </row>
    <row r="98" spans="1:253" ht="12.75">
      <c r="A98" s="97" t="s">
        <v>70</v>
      </c>
      <c r="B98" s="98"/>
      <c r="C98" s="97" t="s">
        <v>192</v>
      </c>
      <c r="D98" s="98"/>
      <c r="E98" s="98"/>
      <c r="F98" s="98"/>
      <c r="G98" s="98"/>
      <c r="H98" s="98"/>
      <c r="I98" s="97" t="s">
        <v>356</v>
      </c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7" t="s">
        <v>440</v>
      </c>
      <c r="AK98" s="98"/>
      <c r="AL98" s="99">
        <f>'Stavební rozpočet'!F120</f>
        <v>1</v>
      </c>
      <c r="AM98" s="100"/>
      <c r="AN98" s="100"/>
      <c r="AO98" s="100"/>
      <c r="AP98" s="100"/>
      <c r="AQ98" s="99">
        <f>'Stavební rozpočet'!G120</f>
        <v>0</v>
      </c>
      <c r="AR98" s="100"/>
      <c r="AS98" s="100"/>
      <c r="AT98" s="100"/>
      <c r="AU98" s="100"/>
      <c r="AV98" s="100"/>
      <c r="AW98" s="100"/>
      <c r="AX98" s="100"/>
      <c r="AY98" s="99">
        <f>IR98*AL98+IS98*AL98</f>
        <v>0</v>
      </c>
      <c r="AZ98" s="100"/>
      <c r="BA98" s="100"/>
      <c r="BB98" s="100"/>
      <c r="BC98" s="100"/>
      <c r="BD98" s="100"/>
      <c r="BE98" s="100"/>
      <c r="BF98" s="100"/>
      <c r="BG98" s="99">
        <f>'Stavební rozpočet'!K120</f>
        <v>0</v>
      </c>
      <c r="BH98" s="100"/>
      <c r="BI98" s="100"/>
      <c r="BJ98" s="100"/>
      <c r="BK98" s="100"/>
      <c r="BL98" s="100"/>
      <c r="BM98" s="100"/>
      <c r="BN98" s="100"/>
      <c r="BO98" s="99">
        <f>BG98*AL98</f>
        <v>0</v>
      </c>
      <c r="BP98" s="100"/>
      <c r="BQ98" s="100"/>
      <c r="BR98" s="100"/>
      <c r="BS98" s="100"/>
      <c r="BT98" s="100"/>
      <c r="BU98" s="100"/>
      <c r="BV98" s="100"/>
      <c r="IR98" s="39">
        <f>AQ98*0</f>
        <v>0</v>
      </c>
      <c r="IS98" s="39">
        <f>AQ98*(1-0)</f>
        <v>0</v>
      </c>
    </row>
    <row r="99" spans="1:253" ht="12.75">
      <c r="A99" s="97" t="s">
        <v>71</v>
      </c>
      <c r="B99" s="98"/>
      <c r="C99" s="97" t="s">
        <v>192</v>
      </c>
      <c r="D99" s="98"/>
      <c r="E99" s="98"/>
      <c r="F99" s="98"/>
      <c r="G99" s="98"/>
      <c r="H99" s="98"/>
      <c r="I99" s="97" t="s">
        <v>357</v>
      </c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7" t="s">
        <v>440</v>
      </c>
      <c r="AK99" s="98"/>
      <c r="AL99" s="99">
        <f>'Stavební rozpočet'!F121</f>
        <v>1</v>
      </c>
      <c r="AM99" s="100"/>
      <c r="AN99" s="100"/>
      <c r="AO99" s="100"/>
      <c r="AP99" s="100"/>
      <c r="AQ99" s="99">
        <f>'Stavební rozpočet'!G121</f>
        <v>0</v>
      </c>
      <c r="AR99" s="100"/>
      <c r="AS99" s="100"/>
      <c r="AT99" s="100"/>
      <c r="AU99" s="100"/>
      <c r="AV99" s="100"/>
      <c r="AW99" s="100"/>
      <c r="AX99" s="100"/>
      <c r="AY99" s="99">
        <f>IR99*AL99+IS99*AL99</f>
        <v>0</v>
      </c>
      <c r="AZ99" s="100"/>
      <c r="BA99" s="100"/>
      <c r="BB99" s="100"/>
      <c r="BC99" s="100"/>
      <c r="BD99" s="100"/>
      <c r="BE99" s="100"/>
      <c r="BF99" s="100"/>
      <c r="BG99" s="99">
        <f>'Stavební rozpočet'!K121</f>
        <v>0</v>
      </c>
      <c r="BH99" s="100"/>
      <c r="BI99" s="100"/>
      <c r="BJ99" s="100"/>
      <c r="BK99" s="100"/>
      <c r="BL99" s="100"/>
      <c r="BM99" s="100"/>
      <c r="BN99" s="100"/>
      <c r="BO99" s="99">
        <f>BG99*AL99</f>
        <v>0</v>
      </c>
      <c r="BP99" s="100"/>
      <c r="BQ99" s="100"/>
      <c r="BR99" s="100"/>
      <c r="BS99" s="100"/>
      <c r="BT99" s="100"/>
      <c r="BU99" s="100"/>
      <c r="BV99" s="100"/>
      <c r="IR99" s="39">
        <f>AQ99*0</f>
        <v>0</v>
      </c>
      <c r="IS99" s="39">
        <f>AQ99*(1-0)</f>
        <v>0</v>
      </c>
    </row>
    <row r="100" spans="1:253" ht="12.75">
      <c r="A100" s="97" t="s">
        <v>72</v>
      </c>
      <c r="B100" s="98"/>
      <c r="C100" s="97" t="s">
        <v>192</v>
      </c>
      <c r="D100" s="98"/>
      <c r="E100" s="98"/>
      <c r="F100" s="98"/>
      <c r="G100" s="98"/>
      <c r="H100" s="98"/>
      <c r="I100" s="97" t="s">
        <v>358</v>
      </c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7" t="s">
        <v>440</v>
      </c>
      <c r="AK100" s="98"/>
      <c r="AL100" s="99">
        <f>'Stavební rozpočet'!F122</f>
        <v>1</v>
      </c>
      <c r="AM100" s="100"/>
      <c r="AN100" s="100"/>
      <c r="AO100" s="100"/>
      <c r="AP100" s="100"/>
      <c r="AQ100" s="99">
        <f>'Stavební rozpočet'!G122</f>
        <v>0</v>
      </c>
      <c r="AR100" s="100"/>
      <c r="AS100" s="100"/>
      <c r="AT100" s="100"/>
      <c r="AU100" s="100"/>
      <c r="AV100" s="100"/>
      <c r="AW100" s="100"/>
      <c r="AX100" s="100"/>
      <c r="AY100" s="99">
        <f>IR100*AL100+IS100*AL100</f>
        <v>0</v>
      </c>
      <c r="AZ100" s="100"/>
      <c r="BA100" s="100"/>
      <c r="BB100" s="100"/>
      <c r="BC100" s="100"/>
      <c r="BD100" s="100"/>
      <c r="BE100" s="100"/>
      <c r="BF100" s="100"/>
      <c r="BG100" s="99">
        <f>'Stavební rozpočet'!K122</f>
        <v>0</v>
      </c>
      <c r="BH100" s="100"/>
      <c r="BI100" s="100"/>
      <c r="BJ100" s="100"/>
      <c r="BK100" s="100"/>
      <c r="BL100" s="100"/>
      <c r="BM100" s="100"/>
      <c r="BN100" s="100"/>
      <c r="BO100" s="99">
        <f>BG100*AL100</f>
        <v>0</v>
      </c>
      <c r="BP100" s="100"/>
      <c r="BQ100" s="100"/>
      <c r="BR100" s="100"/>
      <c r="BS100" s="100"/>
      <c r="BT100" s="100"/>
      <c r="BU100" s="100"/>
      <c r="BV100" s="100"/>
      <c r="IR100" s="39">
        <f>AQ100*0</f>
        <v>0</v>
      </c>
      <c r="IS100" s="39">
        <f>AQ100*(1-0)</f>
        <v>0</v>
      </c>
    </row>
    <row r="101" spans="1:253" ht="12.75">
      <c r="A101" s="97" t="s">
        <v>73</v>
      </c>
      <c r="B101" s="98"/>
      <c r="C101" s="97" t="s">
        <v>192</v>
      </c>
      <c r="D101" s="98"/>
      <c r="E101" s="98"/>
      <c r="F101" s="98"/>
      <c r="G101" s="98"/>
      <c r="H101" s="98"/>
      <c r="I101" s="97" t="s">
        <v>359</v>
      </c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7" t="s">
        <v>440</v>
      </c>
      <c r="AK101" s="98"/>
      <c r="AL101" s="99">
        <f>'Stavební rozpočet'!F123</f>
        <v>1</v>
      </c>
      <c r="AM101" s="100"/>
      <c r="AN101" s="100"/>
      <c r="AO101" s="100"/>
      <c r="AP101" s="100"/>
      <c r="AQ101" s="99">
        <f>'Stavební rozpočet'!G123</f>
        <v>0</v>
      </c>
      <c r="AR101" s="100"/>
      <c r="AS101" s="100"/>
      <c r="AT101" s="100"/>
      <c r="AU101" s="100"/>
      <c r="AV101" s="100"/>
      <c r="AW101" s="100"/>
      <c r="AX101" s="100"/>
      <c r="AY101" s="99">
        <f>IR101*AL101+IS101*AL101</f>
        <v>0</v>
      </c>
      <c r="AZ101" s="100"/>
      <c r="BA101" s="100"/>
      <c r="BB101" s="100"/>
      <c r="BC101" s="100"/>
      <c r="BD101" s="100"/>
      <c r="BE101" s="100"/>
      <c r="BF101" s="100"/>
      <c r="BG101" s="99">
        <f>'Stavební rozpočet'!K123</f>
        <v>0</v>
      </c>
      <c r="BH101" s="100"/>
      <c r="BI101" s="100"/>
      <c r="BJ101" s="100"/>
      <c r="BK101" s="100"/>
      <c r="BL101" s="100"/>
      <c r="BM101" s="100"/>
      <c r="BN101" s="100"/>
      <c r="BO101" s="99">
        <f>BG101*AL101</f>
        <v>0</v>
      </c>
      <c r="BP101" s="100"/>
      <c r="BQ101" s="100"/>
      <c r="BR101" s="100"/>
      <c r="BS101" s="100"/>
      <c r="BT101" s="100"/>
      <c r="BU101" s="100"/>
      <c r="BV101" s="100"/>
      <c r="IR101" s="39">
        <f>AQ101*0</f>
        <v>0</v>
      </c>
      <c r="IS101" s="39">
        <f>AQ101*(1-0)</f>
        <v>0</v>
      </c>
    </row>
    <row r="102" spans="1:253" ht="12.75">
      <c r="A102" s="97" t="s">
        <v>74</v>
      </c>
      <c r="B102" s="98"/>
      <c r="C102" s="97" t="s">
        <v>192</v>
      </c>
      <c r="D102" s="98"/>
      <c r="E102" s="98"/>
      <c r="F102" s="98"/>
      <c r="G102" s="98"/>
      <c r="H102" s="98"/>
      <c r="I102" s="97" t="s">
        <v>360</v>
      </c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7" t="s">
        <v>440</v>
      </c>
      <c r="AK102" s="98"/>
      <c r="AL102" s="99">
        <f>'Stavební rozpočet'!F124</f>
        <v>1</v>
      </c>
      <c r="AM102" s="100"/>
      <c r="AN102" s="100"/>
      <c r="AO102" s="100"/>
      <c r="AP102" s="100"/>
      <c r="AQ102" s="99">
        <f>'Stavební rozpočet'!G124</f>
        <v>0</v>
      </c>
      <c r="AR102" s="100"/>
      <c r="AS102" s="100"/>
      <c r="AT102" s="100"/>
      <c r="AU102" s="100"/>
      <c r="AV102" s="100"/>
      <c r="AW102" s="100"/>
      <c r="AX102" s="100"/>
      <c r="AY102" s="99">
        <f>IR102*AL102+IS102*AL102</f>
        <v>0</v>
      </c>
      <c r="AZ102" s="100"/>
      <c r="BA102" s="100"/>
      <c r="BB102" s="100"/>
      <c r="BC102" s="100"/>
      <c r="BD102" s="100"/>
      <c r="BE102" s="100"/>
      <c r="BF102" s="100"/>
      <c r="BG102" s="99">
        <f>'Stavební rozpočet'!K124</f>
        <v>0</v>
      </c>
      <c r="BH102" s="100"/>
      <c r="BI102" s="100"/>
      <c r="BJ102" s="100"/>
      <c r="BK102" s="100"/>
      <c r="BL102" s="100"/>
      <c r="BM102" s="100"/>
      <c r="BN102" s="100"/>
      <c r="BO102" s="99">
        <f>BG102*AL102</f>
        <v>0</v>
      </c>
      <c r="BP102" s="100"/>
      <c r="BQ102" s="100"/>
      <c r="BR102" s="100"/>
      <c r="BS102" s="100"/>
      <c r="BT102" s="100"/>
      <c r="BU102" s="100"/>
      <c r="BV102" s="100"/>
      <c r="IR102" s="39">
        <f>AQ102*0</f>
        <v>0</v>
      </c>
      <c r="IS102" s="39">
        <f>AQ102*(1-0)</f>
        <v>0</v>
      </c>
    </row>
    <row r="103" spans="1:74" ht="12.75">
      <c r="A103" s="101" t="s">
        <v>6</v>
      </c>
      <c r="B103" s="102"/>
      <c r="C103" s="101" t="s">
        <v>193</v>
      </c>
      <c r="D103" s="102"/>
      <c r="E103" s="102"/>
      <c r="F103" s="102"/>
      <c r="G103" s="102"/>
      <c r="H103" s="102"/>
      <c r="I103" s="101" t="s">
        <v>361</v>
      </c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1" t="s">
        <v>6</v>
      </c>
      <c r="AK103" s="102"/>
      <c r="AL103" s="103" t="s">
        <v>6</v>
      </c>
      <c r="AM103" s="104"/>
      <c r="AN103" s="104"/>
      <c r="AO103" s="104"/>
      <c r="AP103" s="104"/>
      <c r="AQ103" s="103" t="s">
        <v>6</v>
      </c>
      <c r="AR103" s="104"/>
      <c r="AS103" s="104"/>
      <c r="AT103" s="104"/>
      <c r="AU103" s="104"/>
      <c r="AV103" s="104"/>
      <c r="AW103" s="104"/>
      <c r="AX103" s="104"/>
      <c r="AY103" s="105">
        <f>SUM(AY104:AY105)</f>
        <v>0</v>
      </c>
      <c r="AZ103" s="104"/>
      <c r="BA103" s="104"/>
      <c r="BB103" s="104"/>
      <c r="BC103" s="104"/>
      <c r="BD103" s="104"/>
      <c r="BE103" s="104"/>
      <c r="BF103" s="104"/>
      <c r="BG103" s="103" t="s">
        <v>6</v>
      </c>
      <c r="BH103" s="104"/>
      <c r="BI103" s="104"/>
      <c r="BJ103" s="104"/>
      <c r="BK103" s="104"/>
      <c r="BL103" s="104"/>
      <c r="BM103" s="104"/>
      <c r="BN103" s="104"/>
      <c r="BO103" s="105">
        <f>SUM(BO104:BO105)</f>
        <v>0.16092</v>
      </c>
      <c r="BP103" s="104"/>
      <c r="BQ103" s="104"/>
      <c r="BR103" s="104"/>
      <c r="BS103" s="104"/>
      <c r="BT103" s="104"/>
      <c r="BU103" s="104"/>
      <c r="BV103" s="104"/>
    </row>
    <row r="104" spans="1:253" ht="12.75">
      <c r="A104" s="97" t="s">
        <v>75</v>
      </c>
      <c r="B104" s="98"/>
      <c r="C104" s="97" t="s">
        <v>194</v>
      </c>
      <c r="D104" s="98"/>
      <c r="E104" s="98"/>
      <c r="F104" s="98"/>
      <c r="G104" s="98"/>
      <c r="H104" s="98"/>
      <c r="I104" s="97" t="s">
        <v>362</v>
      </c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7" t="s">
        <v>443</v>
      </c>
      <c r="AK104" s="98"/>
      <c r="AL104" s="99">
        <f>'Stavební rozpočet'!F126</f>
        <v>12</v>
      </c>
      <c r="AM104" s="100"/>
      <c r="AN104" s="100"/>
      <c r="AO104" s="100"/>
      <c r="AP104" s="100"/>
      <c r="AQ104" s="99">
        <f>'Stavební rozpočet'!G126</f>
        <v>0</v>
      </c>
      <c r="AR104" s="100"/>
      <c r="AS104" s="100"/>
      <c r="AT104" s="100"/>
      <c r="AU104" s="100"/>
      <c r="AV104" s="100"/>
      <c r="AW104" s="100"/>
      <c r="AX104" s="100"/>
      <c r="AY104" s="99">
        <f>IR104*AL104+IS104*AL104</f>
        <v>0</v>
      </c>
      <c r="AZ104" s="100"/>
      <c r="BA104" s="100"/>
      <c r="BB104" s="100"/>
      <c r="BC104" s="100"/>
      <c r="BD104" s="100"/>
      <c r="BE104" s="100"/>
      <c r="BF104" s="100"/>
      <c r="BG104" s="99">
        <f>'Stavební rozpočet'!K126</f>
        <v>0.01193</v>
      </c>
      <c r="BH104" s="100"/>
      <c r="BI104" s="100"/>
      <c r="BJ104" s="100"/>
      <c r="BK104" s="100"/>
      <c r="BL104" s="100"/>
      <c r="BM104" s="100"/>
      <c r="BN104" s="100"/>
      <c r="BO104" s="99">
        <f>BG104*AL104</f>
        <v>0.14316</v>
      </c>
      <c r="BP104" s="100"/>
      <c r="BQ104" s="100"/>
      <c r="BR104" s="100"/>
      <c r="BS104" s="100"/>
      <c r="BT104" s="100"/>
      <c r="BU104" s="100"/>
      <c r="BV104" s="100"/>
      <c r="IR104" s="39">
        <f>AQ104*0.0580750095675469</f>
        <v>0</v>
      </c>
      <c r="IS104" s="39">
        <f>AQ104*(1-0.0580750095675469)</f>
        <v>0</v>
      </c>
    </row>
    <row r="105" spans="1:253" ht="12.75">
      <c r="A105" s="97" t="s">
        <v>76</v>
      </c>
      <c r="B105" s="98"/>
      <c r="C105" s="97" t="s">
        <v>195</v>
      </c>
      <c r="D105" s="98"/>
      <c r="E105" s="98"/>
      <c r="F105" s="98"/>
      <c r="G105" s="98"/>
      <c r="H105" s="98"/>
      <c r="I105" s="97" t="s">
        <v>363</v>
      </c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7" t="s">
        <v>443</v>
      </c>
      <c r="AK105" s="98"/>
      <c r="AL105" s="99">
        <f>'Stavební rozpočet'!F127</f>
        <v>12</v>
      </c>
      <c r="AM105" s="100"/>
      <c r="AN105" s="100"/>
      <c r="AO105" s="100"/>
      <c r="AP105" s="100"/>
      <c r="AQ105" s="99">
        <f>'Stavební rozpočet'!G127</f>
        <v>0</v>
      </c>
      <c r="AR105" s="100"/>
      <c r="AS105" s="100"/>
      <c r="AT105" s="100"/>
      <c r="AU105" s="100"/>
      <c r="AV105" s="100"/>
      <c r="AW105" s="100"/>
      <c r="AX105" s="100"/>
      <c r="AY105" s="99">
        <f>IR105*AL105+IS105*AL105</f>
        <v>0</v>
      </c>
      <c r="AZ105" s="100"/>
      <c r="BA105" s="100"/>
      <c r="BB105" s="100"/>
      <c r="BC105" s="100"/>
      <c r="BD105" s="100"/>
      <c r="BE105" s="100"/>
      <c r="BF105" s="100"/>
      <c r="BG105" s="99">
        <f>'Stavební rozpočet'!K127</f>
        <v>0.00148</v>
      </c>
      <c r="BH105" s="100"/>
      <c r="BI105" s="100"/>
      <c r="BJ105" s="100"/>
      <c r="BK105" s="100"/>
      <c r="BL105" s="100"/>
      <c r="BM105" s="100"/>
      <c r="BN105" s="100"/>
      <c r="BO105" s="99">
        <f>BG105*AL105</f>
        <v>0.017759999999999998</v>
      </c>
      <c r="BP105" s="100"/>
      <c r="BQ105" s="100"/>
      <c r="BR105" s="100"/>
      <c r="BS105" s="100"/>
      <c r="BT105" s="100"/>
      <c r="BU105" s="100"/>
      <c r="BV105" s="100"/>
      <c r="IR105" s="39">
        <f>AQ105*0.401818181818182</f>
        <v>0</v>
      </c>
      <c r="IS105" s="39">
        <f>AQ105*(1-0.401818181818182)</f>
        <v>0</v>
      </c>
    </row>
    <row r="106" spans="1:74" ht="12.75">
      <c r="A106" s="101" t="s">
        <v>6</v>
      </c>
      <c r="B106" s="102"/>
      <c r="C106" s="101" t="s">
        <v>196</v>
      </c>
      <c r="D106" s="102"/>
      <c r="E106" s="102"/>
      <c r="F106" s="102"/>
      <c r="G106" s="102"/>
      <c r="H106" s="102"/>
      <c r="I106" s="101" t="s">
        <v>365</v>
      </c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1" t="s">
        <v>6</v>
      </c>
      <c r="AK106" s="102"/>
      <c r="AL106" s="103" t="s">
        <v>6</v>
      </c>
      <c r="AM106" s="104"/>
      <c r="AN106" s="104"/>
      <c r="AO106" s="104"/>
      <c r="AP106" s="104"/>
      <c r="AQ106" s="103" t="s">
        <v>6</v>
      </c>
      <c r="AR106" s="104"/>
      <c r="AS106" s="104"/>
      <c r="AT106" s="104"/>
      <c r="AU106" s="104"/>
      <c r="AV106" s="104"/>
      <c r="AW106" s="104"/>
      <c r="AX106" s="104"/>
      <c r="AY106" s="105">
        <f>SUM(AY107:AY107)</f>
        <v>0</v>
      </c>
      <c r="AZ106" s="104"/>
      <c r="BA106" s="104"/>
      <c r="BB106" s="104"/>
      <c r="BC106" s="104"/>
      <c r="BD106" s="104"/>
      <c r="BE106" s="104"/>
      <c r="BF106" s="104"/>
      <c r="BG106" s="103" t="s">
        <v>6</v>
      </c>
      <c r="BH106" s="104"/>
      <c r="BI106" s="104"/>
      <c r="BJ106" s="104"/>
      <c r="BK106" s="104"/>
      <c r="BL106" s="104"/>
      <c r="BM106" s="104"/>
      <c r="BN106" s="104"/>
      <c r="BO106" s="105">
        <f>SUM(BO107:BO107)</f>
        <v>0.01755</v>
      </c>
      <c r="BP106" s="104"/>
      <c r="BQ106" s="104"/>
      <c r="BR106" s="104"/>
      <c r="BS106" s="104"/>
      <c r="BT106" s="104"/>
      <c r="BU106" s="104"/>
      <c r="BV106" s="104"/>
    </row>
    <row r="107" spans="1:253" ht="12.75">
      <c r="A107" s="97" t="s">
        <v>77</v>
      </c>
      <c r="B107" s="98"/>
      <c r="C107" s="97" t="s">
        <v>197</v>
      </c>
      <c r="D107" s="98"/>
      <c r="E107" s="98"/>
      <c r="F107" s="98"/>
      <c r="G107" s="98"/>
      <c r="H107" s="98"/>
      <c r="I107" s="97" t="s">
        <v>366</v>
      </c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7" t="s">
        <v>442</v>
      </c>
      <c r="AK107" s="98"/>
      <c r="AL107" s="99">
        <f>'Stavební rozpočet'!F130</f>
        <v>117</v>
      </c>
      <c r="AM107" s="100"/>
      <c r="AN107" s="100"/>
      <c r="AO107" s="100"/>
      <c r="AP107" s="100"/>
      <c r="AQ107" s="99">
        <f>'Stavební rozpočet'!G130</f>
        <v>0</v>
      </c>
      <c r="AR107" s="100"/>
      <c r="AS107" s="100"/>
      <c r="AT107" s="100"/>
      <c r="AU107" s="100"/>
      <c r="AV107" s="100"/>
      <c r="AW107" s="100"/>
      <c r="AX107" s="100"/>
      <c r="AY107" s="99">
        <f>IR107*AL107+IS107*AL107</f>
        <v>0</v>
      </c>
      <c r="AZ107" s="100"/>
      <c r="BA107" s="100"/>
      <c r="BB107" s="100"/>
      <c r="BC107" s="100"/>
      <c r="BD107" s="100"/>
      <c r="BE107" s="100"/>
      <c r="BF107" s="100"/>
      <c r="BG107" s="99">
        <f>'Stavební rozpočet'!K130</f>
        <v>0.00015</v>
      </c>
      <c r="BH107" s="100"/>
      <c r="BI107" s="100"/>
      <c r="BJ107" s="100"/>
      <c r="BK107" s="100"/>
      <c r="BL107" s="100"/>
      <c r="BM107" s="100"/>
      <c r="BN107" s="100"/>
      <c r="BO107" s="99">
        <f>BG107*AL107</f>
        <v>0.01755</v>
      </c>
      <c r="BP107" s="100"/>
      <c r="BQ107" s="100"/>
      <c r="BR107" s="100"/>
      <c r="BS107" s="100"/>
      <c r="BT107" s="100"/>
      <c r="BU107" s="100"/>
      <c r="BV107" s="100"/>
      <c r="IR107" s="39">
        <f>AQ107*0.0925343811394892</f>
        <v>0</v>
      </c>
      <c r="IS107" s="39">
        <f>AQ107*(1-0.0925343811394892)</f>
        <v>0</v>
      </c>
    </row>
    <row r="108" spans="1:74" ht="12.75">
      <c r="A108" s="101" t="s">
        <v>6</v>
      </c>
      <c r="B108" s="102"/>
      <c r="C108" s="101" t="s">
        <v>93</v>
      </c>
      <c r="D108" s="102"/>
      <c r="E108" s="102"/>
      <c r="F108" s="102"/>
      <c r="G108" s="102"/>
      <c r="H108" s="102"/>
      <c r="I108" s="101" t="s">
        <v>367</v>
      </c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1" t="s">
        <v>6</v>
      </c>
      <c r="AK108" s="102"/>
      <c r="AL108" s="103" t="s">
        <v>6</v>
      </c>
      <c r="AM108" s="104"/>
      <c r="AN108" s="104"/>
      <c r="AO108" s="104"/>
      <c r="AP108" s="104"/>
      <c r="AQ108" s="103" t="s">
        <v>6</v>
      </c>
      <c r="AR108" s="104"/>
      <c r="AS108" s="104"/>
      <c r="AT108" s="104"/>
      <c r="AU108" s="104"/>
      <c r="AV108" s="104"/>
      <c r="AW108" s="104"/>
      <c r="AX108" s="104"/>
      <c r="AY108" s="105">
        <f>SUM(AY109:AY121)</f>
        <v>0</v>
      </c>
      <c r="AZ108" s="104"/>
      <c r="BA108" s="104"/>
      <c r="BB108" s="104"/>
      <c r="BC108" s="104"/>
      <c r="BD108" s="104"/>
      <c r="BE108" s="104"/>
      <c r="BF108" s="104"/>
      <c r="BG108" s="103" t="s">
        <v>6</v>
      </c>
      <c r="BH108" s="104"/>
      <c r="BI108" s="104"/>
      <c r="BJ108" s="104"/>
      <c r="BK108" s="104"/>
      <c r="BL108" s="104"/>
      <c r="BM108" s="104"/>
      <c r="BN108" s="104"/>
      <c r="BO108" s="105">
        <f>SUM(BO109:BO121)</f>
        <v>1.096</v>
      </c>
      <c r="BP108" s="104"/>
      <c r="BQ108" s="104"/>
      <c r="BR108" s="104"/>
      <c r="BS108" s="104"/>
      <c r="BT108" s="104"/>
      <c r="BU108" s="104"/>
      <c r="BV108" s="104"/>
    </row>
    <row r="109" spans="1:253" ht="12.75">
      <c r="A109" s="97" t="s">
        <v>78</v>
      </c>
      <c r="B109" s="98"/>
      <c r="C109" s="97" t="s">
        <v>198</v>
      </c>
      <c r="D109" s="98"/>
      <c r="E109" s="98"/>
      <c r="F109" s="98"/>
      <c r="G109" s="98"/>
      <c r="H109" s="98"/>
      <c r="I109" s="97" t="s">
        <v>368</v>
      </c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7" t="s">
        <v>448</v>
      </c>
      <c r="AK109" s="98"/>
      <c r="AL109" s="99">
        <f>'Stavební rozpočet'!F132</f>
        <v>37</v>
      </c>
      <c r="AM109" s="100"/>
      <c r="AN109" s="100"/>
      <c r="AO109" s="100"/>
      <c r="AP109" s="100"/>
      <c r="AQ109" s="99">
        <f>'Stavební rozpočet'!G132</f>
        <v>0</v>
      </c>
      <c r="AR109" s="100"/>
      <c r="AS109" s="100"/>
      <c r="AT109" s="100"/>
      <c r="AU109" s="100"/>
      <c r="AV109" s="100"/>
      <c r="AW109" s="100"/>
      <c r="AX109" s="100"/>
      <c r="AY109" s="99">
        <f aca="true" t="shared" si="6" ref="AY109:AY121">IR109*AL109+IS109*AL109</f>
        <v>0</v>
      </c>
      <c r="AZ109" s="100"/>
      <c r="BA109" s="100"/>
      <c r="BB109" s="100"/>
      <c r="BC109" s="100"/>
      <c r="BD109" s="100"/>
      <c r="BE109" s="100"/>
      <c r="BF109" s="100"/>
      <c r="BG109" s="99">
        <f>'Stavební rozpočet'!K132</f>
        <v>0.013</v>
      </c>
      <c r="BH109" s="100"/>
      <c r="BI109" s="100"/>
      <c r="BJ109" s="100"/>
      <c r="BK109" s="100"/>
      <c r="BL109" s="100"/>
      <c r="BM109" s="100"/>
      <c r="BN109" s="100"/>
      <c r="BO109" s="99">
        <f aca="true" t="shared" si="7" ref="BO109:BO121">BG109*AL109</f>
        <v>0.481</v>
      </c>
      <c r="BP109" s="100"/>
      <c r="BQ109" s="100"/>
      <c r="BR109" s="100"/>
      <c r="BS109" s="100"/>
      <c r="BT109" s="100"/>
      <c r="BU109" s="100"/>
      <c r="BV109" s="100"/>
      <c r="IR109" s="39">
        <f>AQ109*0.740622505985635</f>
        <v>0</v>
      </c>
      <c r="IS109" s="39">
        <f>AQ109*(1-0.740622505985635)</f>
        <v>0</v>
      </c>
    </row>
    <row r="110" spans="1:253" ht="12.75">
      <c r="A110" s="97" t="s">
        <v>79</v>
      </c>
      <c r="B110" s="98"/>
      <c r="C110" s="97" t="s">
        <v>199</v>
      </c>
      <c r="D110" s="98"/>
      <c r="E110" s="98"/>
      <c r="F110" s="98"/>
      <c r="G110" s="98"/>
      <c r="H110" s="98"/>
      <c r="I110" s="97" t="s">
        <v>370</v>
      </c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7" t="s">
        <v>448</v>
      </c>
      <c r="AK110" s="98"/>
      <c r="AL110" s="99">
        <f>'Stavební rozpočet'!F134</f>
        <v>1</v>
      </c>
      <c r="AM110" s="100"/>
      <c r="AN110" s="100"/>
      <c r="AO110" s="100"/>
      <c r="AP110" s="100"/>
      <c r="AQ110" s="99">
        <f>'Stavební rozpočet'!G134</f>
        <v>0</v>
      </c>
      <c r="AR110" s="100"/>
      <c r="AS110" s="100"/>
      <c r="AT110" s="100"/>
      <c r="AU110" s="100"/>
      <c r="AV110" s="100"/>
      <c r="AW110" s="100"/>
      <c r="AX110" s="100"/>
      <c r="AY110" s="99">
        <f t="shared" si="6"/>
        <v>0</v>
      </c>
      <c r="AZ110" s="100"/>
      <c r="BA110" s="100"/>
      <c r="BB110" s="100"/>
      <c r="BC110" s="100"/>
      <c r="BD110" s="100"/>
      <c r="BE110" s="100"/>
      <c r="BF110" s="100"/>
      <c r="BG110" s="99">
        <f>'Stavební rozpočet'!K134</f>
        <v>0.002</v>
      </c>
      <c r="BH110" s="100"/>
      <c r="BI110" s="100"/>
      <c r="BJ110" s="100"/>
      <c r="BK110" s="100"/>
      <c r="BL110" s="100"/>
      <c r="BM110" s="100"/>
      <c r="BN110" s="100"/>
      <c r="BO110" s="99">
        <f t="shared" si="7"/>
        <v>0.002</v>
      </c>
      <c r="BP110" s="100"/>
      <c r="BQ110" s="100"/>
      <c r="BR110" s="100"/>
      <c r="BS110" s="100"/>
      <c r="BT110" s="100"/>
      <c r="BU110" s="100"/>
      <c r="BV110" s="100"/>
      <c r="IR110" s="39">
        <f>AQ110*0.740697674418605</f>
        <v>0</v>
      </c>
      <c r="IS110" s="39">
        <f>AQ110*(1-0.740697674418605)</f>
        <v>0</v>
      </c>
    </row>
    <row r="111" spans="1:253" ht="12.75">
      <c r="A111" s="97" t="s">
        <v>80</v>
      </c>
      <c r="B111" s="98"/>
      <c r="C111" s="97" t="s">
        <v>200</v>
      </c>
      <c r="D111" s="98"/>
      <c r="E111" s="98"/>
      <c r="F111" s="98"/>
      <c r="G111" s="98"/>
      <c r="H111" s="98"/>
      <c r="I111" s="97" t="s">
        <v>371</v>
      </c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7" t="s">
        <v>448</v>
      </c>
      <c r="AK111" s="98"/>
      <c r="AL111" s="99">
        <f>'Stavební rozpočet'!F136</f>
        <v>4</v>
      </c>
      <c r="AM111" s="100"/>
      <c r="AN111" s="100"/>
      <c r="AO111" s="100"/>
      <c r="AP111" s="100"/>
      <c r="AQ111" s="99">
        <f>'Stavební rozpočet'!G136</f>
        <v>0</v>
      </c>
      <c r="AR111" s="100"/>
      <c r="AS111" s="100"/>
      <c r="AT111" s="100"/>
      <c r="AU111" s="100"/>
      <c r="AV111" s="100"/>
      <c r="AW111" s="100"/>
      <c r="AX111" s="100"/>
      <c r="AY111" s="99">
        <f t="shared" si="6"/>
        <v>0</v>
      </c>
      <c r="AZ111" s="100"/>
      <c r="BA111" s="100"/>
      <c r="BB111" s="100"/>
      <c r="BC111" s="100"/>
      <c r="BD111" s="100"/>
      <c r="BE111" s="100"/>
      <c r="BF111" s="100"/>
      <c r="BG111" s="99">
        <f>'Stavební rozpočet'!K136</f>
        <v>0.002</v>
      </c>
      <c r="BH111" s="100"/>
      <c r="BI111" s="100"/>
      <c r="BJ111" s="100"/>
      <c r="BK111" s="100"/>
      <c r="BL111" s="100"/>
      <c r="BM111" s="100"/>
      <c r="BN111" s="100"/>
      <c r="BO111" s="99">
        <f t="shared" si="7"/>
        <v>0.008</v>
      </c>
      <c r="BP111" s="100"/>
      <c r="BQ111" s="100"/>
      <c r="BR111" s="100"/>
      <c r="BS111" s="100"/>
      <c r="BT111" s="100"/>
      <c r="BU111" s="100"/>
      <c r="BV111" s="100"/>
      <c r="IR111" s="39">
        <f>AQ111*0.74080771549126</f>
        <v>0</v>
      </c>
      <c r="IS111" s="39">
        <f>AQ111*(1-0.74080771549126)</f>
        <v>0</v>
      </c>
    </row>
    <row r="112" spans="1:253" ht="12.75">
      <c r="A112" s="97" t="s">
        <v>81</v>
      </c>
      <c r="B112" s="98"/>
      <c r="C112" s="97" t="s">
        <v>201</v>
      </c>
      <c r="D112" s="98"/>
      <c r="E112" s="98"/>
      <c r="F112" s="98"/>
      <c r="G112" s="98"/>
      <c r="H112" s="98"/>
      <c r="I112" s="97" t="s">
        <v>372</v>
      </c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7" t="s">
        <v>448</v>
      </c>
      <c r="AK112" s="98"/>
      <c r="AL112" s="99">
        <f>'Stavební rozpočet'!F138</f>
        <v>6</v>
      </c>
      <c r="AM112" s="100"/>
      <c r="AN112" s="100"/>
      <c r="AO112" s="100"/>
      <c r="AP112" s="100"/>
      <c r="AQ112" s="99">
        <f>'Stavební rozpočet'!G138</f>
        <v>0</v>
      </c>
      <c r="AR112" s="100"/>
      <c r="AS112" s="100"/>
      <c r="AT112" s="100"/>
      <c r="AU112" s="100"/>
      <c r="AV112" s="100"/>
      <c r="AW112" s="100"/>
      <c r="AX112" s="100"/>
      <c r="AY112" s="99">
        <f t="shared" si="6"/>
        <v>0</v>
      </c>
      <c r="AZ112" s="100"/>
      <c r="BA112" s="100"/>
      <c r="BB112" s="100"/>
      <c r="BC112" s="100"/>
      <c r="BD112" s="100"/>
      <c r="BE112" s="100"/>
      <c r="BF112" s="100"/>
      <c r="BG112" s="99">
        <f>'Stavební rozpočet'!K138</f>
        <v>0.002</v>
      </c>
      <c r="BH112" s="100"/>
      <c r="BI112" s="100"/>
      <c r="BJ112" s="100"/>
      <c r="BK112" s="100"/>
      <c r="BL112" s="100"/>
      <c r="BM112" s="100"/>
      <c r="BN112" s="100"/>
      <c r="BO112" s="99">
        <f t="shared" si="7"/>
        <v>0.012</v>
      </c>
      <c r="BP112" s="100"/>
      <c r="BQ112" s="100"/>
      <c r="BR112" s="100"/>
      <c r="BS112" s="100"/>
      <c r="BT112" s="100"/>
      <c r="BU112" s="100"/>
      <c r="BV112" s="100"/>
      <c r="IR112" s="39">
        <f>AQ112*0.740625</f>
        <v>0</v>
      </c>
      <c r="IS112" s="39">
        <f>AQ112*(1-0.740625)</f>
        <v>0</v>
      </c>
    </row>
    <row r="113" spans="1:253" ht="12.75">
      <c r="A113" s="97" t="s">
        <v>82</v>
      </c>
      <c r="B113" s="98"/>
      <c r="C113" s="97" t="s">
        <v>202</v>
      </c>
      <c r="D113" s="98"/>
      <c r="E113" s="98"/>
      <c r="F113" s="98"/>
      <c r="G113" s="98"/>
      <c r="H113" s="98"/>
      <c r="I113" s="97" t="s">
        <v>373</v>
      </c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7" t="s">
        <v>448</v>
      </c>
      <c r="AK113" s="98"/>
      <c r="AL113" s="99">
        <f>'Stavební rozpočet'!F140</f>
        <v>1</v>
      </c>
      <c r="AM113" s="100"/>
      <c r="AN113" s="100"/>
      <c r="AO113" s="100"/>
      <c r="AP113" s="100"/>
      <c r="AQ113" s="99">
        <f>'Stavební rozpočet'!G140</f>
        <v>0</v>
      </c>
      <c r="AR113" s="100"/>
      <c r="AS113" s="100"/>
      <c r="AT113" s="100"/>
      <c r="AU113" s="100"/>
      <c r="AV113" s="100"/>
      <c r="AW113" s="100"/>
      <c r="AX113" s="100"/>
      <c r="AY113" s="99">
        <f t="shared" si="6"/>
        <v>0</v>
      </c>
      <c r="AZ113" s="100"/>
      <c r="BA113" s="100"/>
      <c r="BB113" s="100"/>
      <c r="BC113" s="100"/>
      <c r="BD113" s="100"/>
      <c r="BE113" s="100"/>
      <c r="BF113" s="100"/>
      <c r="BG113" s="99">
        <f>'Stavební rozpočet'!K140</f>
        <v>0.002</v>
      </c>
      <c r="BH113" s="100"/>
      <c r="BI113" s="100"/>
      <c r="BJ113" s="100"/>
      <c r="BK113" s="100"/>
      <c r="BL113" s="100"/>
      <c r="BM113" s="100"/>
      <c r="BN113" s="100"/>
      <c r="BO113" s="99">
        <f t="shared" si="7"/>
        <v>0.002</v>
      </c>
      <c r="BP113" s="100"/>
      <c r="BQ113" s="100"/>
      <c r="BR113" s="100"/>
      <c r="BS113" s="100"/>
      <c r="BT113" s="100"/>
      <c r="BU113" s="100"/>
      <c r="BV113" s="100"/>
      <c r="IR113" s="39">
        <f>AQ113*0.74071365896461</f>
        <v>0</v>
      </c>
      <c r="IS113" s="39">
        <f>AQ113*(1-0.74071365896461)</f>
        <v>0</v>
      </c>
    </row>
    <row r="114" spans="1:253" ht="12.75">
      <c r="A114" s="97" t="s">
        <v>83</v>
      </c>
      <c r="B114" s="98"/>
      <c r="C114" s="97" t="s">
        <v>203</v>
      </c>
      <c r="D114" s="98"/>
      <c r="E114" s="98"/>
      <c r="F114" s="98"/>
      <c r="G114" s="98"/>
      <c r="H114" s="98"/>
      <c r="I114" s="97" t="s">
        <v>374</v>
      </c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I114" s="98"/>
      <c r="AJ114" s="97" t="s">
        <v>448</v>
      </c>
      <c r="AK114" s="98"/>
      <c r="AL114" s="99">
        <f>'Stavební rozpočet'!F142</f>
        <v>1</v>
      </c>
      <c r="AM114" s="100"/>
      <c r="AN114" s="100"/>
      <c r="AO114" s="100"/>
      <c r="AP114" s="100"/>
      <c r="AQ114" s="99">
        <f>'Stavební rozpočet'!G142</f>
        <v>0</v>
      </c>
      <c r="AR114" s="100"/>
      <c r="AS114" s="100"/>
      <c r="AT114" s="100"/>
      <c r="AU114" s="100"/>
      <c r="AV114" s="100"/>
      <c r="AW114" s="100"/>
      <c r="AX114" s="100"/>
      <c r="AY114" s="99">
        <f t="shared" si="6"/>
        <v>0</v>
      </c>
      <c r="AZ114" s="100"/>
      <c r="BA114" s="100"/>
      <c r="BB114" s="100"/>
      <c r="BC114" s="100"/>
      <c r="BD114" s="100"/>
      <c r="BE114" s="100"/>
      <c r="BF114" s="100"/>
      <c r="BG114" s="99">
        <f>'Stavební rozpočet'!K142</f>
        <v>0.002</v>
      </c>
      <c r="BH114" s="100"/>
      <c r="BI114" s="100"/>
      <c r="BJ114" s="100"/>
      <c r="BK114" s="100"/>
      <c r="BL114" s="100"/>
      <c r="BM114" s="100"/>
      <c r="BN114" s="100"/>
      <c r="BO114" s="99">
        <f t="shared" si="7"/>
        <v>0.002</v>
      </c>
      <c r="BP114" s="100"/>
      <c r="BQ114" s="100"/>
      <c r="BR114" s="100"/>
      <c r="BS114" s="100"/>
      <c r="BT114" s="100"/>
      <c r="BU114" s="100"/>
      <c r="BV114" s="100"/>
      <c r="IR114" s="39">
        <f>AQ114*0.740777809551044</f>
        <v>0</v>
      </c>
      <c r="IS114" s="39">
        <f>AQ114*(1-0.740777809551044)</f>
        <v>0</v>
      </c>
    </row>
    <row r="115" spans="1:253" ht="12.75">
      <c r="A115" s="97" t="s">
        <v>84</v>
      </c>
      <c r="B115" s="98"/>
      <c r="C115" s="97" t="s">
        <v>204</v>
      </c>
      <c r="D115" s="98"/>
      <c r="E115" s="98"/>
      <c r="F115" s="98"/>
      <c r="G115" s="98"/>
      <c r="H115" s="98"/>
      <c r="I115" s="97" t="s">
        <v>375</v>
      </c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7" t="s">
        <v>448</v>
      </c>
      <c r="AK115" s="98"/>
      <c r="AL115" s="99">
        <f>'Stavební rozpočet'!F144</f>
        <v>26</v>
      </c>
      <c r="AM115" s="100"/>
      <c r="AN115" s="100"/>
      <c r="AO115" s="100"/>
      <c r="AP115" s="100"/>
      <c r="AQ115" s="99">
        <f>'Stavební rozpočet'!G144</f>
        <v>0</v>
      </c>
      <c r="AR115" s="100"/>
      <c r="AS115" s="100"/>
      <c r="AT115" s="100"/>
      <c r="AU115" s="100"/>
      <c r="AV115" s="100"/>
      <c r="AW115" s="100"/>
      <c r="AX115" s="100"/>
      <c r="AY115" s="99">
        <f t="shared" si="6"/>
        <v>0</v>
      </c>
      <c r="AZ115" s="100"/>
      <c r="BA115" s="100"/>
      <c r="BB115" s="100"/>
      <c r="BC115" s="100"/>
      <c r="BD115" s="100"/>
      <c r="BE115" s="100"/>
      <c r="BF115" s="100"/>
      <c r="BG115" s="99">
        <f>'Stavební rozpočet'!K144</f>
        <v>0.0005</v>
      </c>
      <c r="BH115" s="100"/>
      <c r="BI115" s="100"/>
      <c r="BJ115" s="100"/>
      <c r="BK115" s="100"/>
      <c r="BL115" s="100"/>
      <c r="BM115" s="100"/>
      <c r="BN115" s="100"/>
      <c r="BO115" s="99">
        <f t="shared" si="7"/>
        <v>0.013000000000000001</v>
      </c>
      <c r="BP115" s="100"/>
      <c r="BQ115" s="100"/>
      <c r="BR115" s="100"/>
      <c r="BS115" s="100"/>
      <c r="BT115" s="100"/>
      <c r="BU115" s="100"/>
      <c r="BV115" s="100"/>
      <c r="IR115" s="39">
        <f>AQ115*0.742081447963801</f>
        <v>0</v>
      </c>
      <c r="IS115" s="39">
        <f>AQ115*(1-0.742081447963801)</f>
        <v>0</v>
      </c>
    </row>
    <row r="116" spans="1:253" ht="12.75">
      <c r="A116" s="97" t="s">
        <v>85</v>
      </c>
      <c r="B116" s="98"/>
      <c r="C116" s="97" t="s">
        <v>205</v>
      </c>
      <c r="D116" s="98"/>
      <c r="E116" s="98"/>
      <c r="F116" s="98"/>
      <c r="G116" s="98"/>
      <c r="H116" s="98"/>
      <c r="I116" s="97" t="s">
        <v>376</v>
      </c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7" t="s">
        <v>448</v>
      </c>
      <c r="AK116" s="98"/>
      <c r="AL116" s="99">
        <f>'Stavební rozpočet'!F146</f>
        <v>8</v>
      </c>
      <c r="AM116" s="100"/>
      <c r="AN116" s="100"/>
      <c r="AO116" s="100"/>
      <c r="AP116" s="100"/>
      <c r="AQ116" s="99">
        <f>'Stavební rozpočet'!G146</f>
        <v>0</v>
      </c>
      <c r="AR116" s="100"/>
      <c r="AS116" s="100"/>
      <c r="AT116" s="100"/>
      <c r="AU116" s="100"/>
      <c r="AV116" s="100"/>
      <c r="AW116" s="100"/>
      <c r="AX116" s="100"/>
      <c r="AY116" s="99">
        <f t="shared" si="6"/>
        <v>0</v>
      </c>
      <c r="AZ116" s="100"/>
      <c r="BA116" s="100"/>
      <c r="BB116" s="100"/>
      <c r="BC116" s="100"/>
      <c r="BD116" s="100"/>
      <c r="BE116" s="100"/>
      <c r="BF116" s="100"/>
      <c r="BG116" s="99">
        <f>'Stavební rozpočet'!K146</f>
        <v>0.0005</v>
      </c>
      <c r="BH116" s="100"/>
      <c r="BI116" s="100"/>
      <c r="BJ116" s="100"/>
      <c r="BK116" s="100"/>
      <c r="BL116" s="100"/>
      <c r="BM116" s="100"/>
      <c r="BN116" s="100"/>
      <c r="BO116" s="99">
        <f t="shared" si="7"/>
        <v>0.004</v>
      </c>
      <c r="BP116" s="100"/>
      <c r="BQ116" s="100"/>
      <c r="BR116" s="100"/>
      <c r="BS116" s="100"/>
      <c r="BT116" s="100"/>
      <c r="BU116" s="100"/>
      <c r="BV116" s="100"/>
      <c r="IR116" s="39">
        <f>AQ116*0.741071428571429</f>
        <v>0</v>
      </c>
      <c r="IS116" s="39">
        <f>AQ116*(1-0.741071428571429)</f>
        <v>0</v>
      </c>
    </row>
    <row r="117" spans="1:253" ht="12.75">
      <c r="A117" s="97" t="s">
        <v>86</v>
      </c>
      <c r="B117" s="98"/>
      <c r="C117" s="97" t="s">
        <v>206</v>
      </c>
      <c r="D117" s="98"/>
      <c r="E117" s="98"/>
      <c r="F117" s="98"/>
      <c r="G117" s="98"/>
      <c r="H117" s="98"/>
      <c r="I117" s="97" t="s">
        <v>377</v>
      </c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7" t="s">
        <v>448</v>
      </c>
      <c r="AK117" s="98"/>
      <c r="AL117" s="99">
        <f>'Stavební rozpočet'!F148</f>
        <v>4</v>
      </c>
      <c r="AM117" s="100"/>
      <c r="AN117" s="100"/>
      <c r="AO117" s="100"/>
      <c r="AP117" s="100"/>
      <c r="AQ117" s="99">
        <f>'Stavební rozpočet'!G148</f>
        <v>0</v>
      </c>
      <c r="AR117" s="100"/>
      <c r="AS117" s="100"/>
      <c r="AT117" s="100"/>
      <c r="AU117" s="100"/>
      <c r="AV117" s="100"/>
      <c r="AW117" s="100"/>
      <c r="AX117" s="100"/>
      <c r="AY117" s="99">
        <f t="shared" si="6"/>
        <v>0</v>
      </c>
      <c r="AZ117" s="100"/>
      <c r="BA117" s="100"/>
      <c r="BB117" s="100"/>
      <c r="BC117" s="100"/>
      <c r="BD117" s="100"/>
      <c r="BE117" s="100"/>
      <c r="BF117" s="100"/>
      <c r="BG117" s="99">
        <f>'Stavební rozpočet'!K148</f>
        <v>0.0005</v>
      </c>
      <c r="BH117" s="100"/>
      <c r="BI117" s="100"/>
      <c r="BJ117" s="100"/>
      <c r="BK117" s="100"/>
      <c r="BL117" s="100"/>
      <c r="BM117" s="100"/>
      <c r="BN117" s="100"/>
      <c r="BO117" s="99">
        <f t="shared" si="7"/>
        <v>0.002</v>
      </c>
      <c r="BP117" s="100"/>
      <c r="BQ117" s="100"/>
      <c r="BR117" s="100"/>
      <c r="BS117" s="100"/>
      <c r="BT117" s="100"/>
      <c r="BU117" s="100"/>
      <c r="BV117" s="100"/>
      <c r="IR117" s="39">
        <f>AQ117*0.7375</f>
        <v>0</v>
      </c>
      <c r="IS117" s="39">
        <f>AQ117*(1-0.7375)</f>
        <v>0</v>
      </c>
    </row>
    <row r="118" spans="1:253" ht="12.75">
      <c r="A118" s="97" t="s">
        <v>87</v>
      </c>
      <c r="B118" s="98"/>
      <c r="C118" s="97" t="s">
        <v>207</v>
      </c>
      <c r="D118" s="98"/>
      <c r="E118" s="98"/>
      <c r="F118" s="98"/>
      <c r="G118" s="98"/>
      <c r="H118" s="98"/>
      <c r="I118" s="97" t="s">
        <v>378</v>
      </c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7" t="s">
        <v>448</v>
      </c>
      <c r="AK118" s="98"/>
      <c r="AL118" s="99">
        <f>'Stavební rozpočet'!F150</f>
        <v>6</v>
      </c>
      <c r="AM118" s="100"/>
      <c r="AN118" s="100"/>
      <c r="AO118" s="100"/>
      <c r="AP118" s="100"/>
      <c r="AQ118" s="99">
        <f>'Stavební rozpočet'!G150</f>
        <v>0</v>
      </c>
      <c r="AR118" s="100"/>
      <c r="AS118" s="100"/>
      <c r="AT118" s="100"/>
      <c r="AU118" s="100"/>
      <c r="AV118" s="100"/>
      <c r="AW118" s="100"/>
      <c r="AX118" s="100"/>
      <c r="AY118" s="99">
        <f t="shared" si="6"/>
        <v>0</v>
      </c>
      <c r="AZ118" s="100"/>
      <c r="BA118" s="100"/>
      <c r="BB118" s="100"/>
      <c r="BC118" s="100"/>
      <c r="BD118" s="100"/>
      <c r="BE118" s="100"/>
      <c r="BF118" s="100"/>
      <c r="BG118" s="99">
        <f>'Stavební rozpočet'!K150</f>
        <v>0.015</v>
      </c>
      <c r="BH118" s="100"/>
      <c r="BI118" s="100"/>
      <c r="BJ118" s="100"/>
      <c r="BK118" s="100"/>
      <c r="BL118" s="100"/>
      <c r="BM118" s="100"/>
      <c r="BN118" s="100"/>
      <c r="BO118" s="99">
        <f t="shared" si="7"/>
        <v>0.09</v>
      </c>
      <c r="BP118" s="100"/>
      <c r="BQ118" s="100"/>
      <c r="BR118" s="100"/>
      <c r="BS118" s="100"/>
      <c r="BT118" s="100"/>
      <c r="BU118" s="100"/>
      <c r="BV118" s="100"/>
      <c r="IR118" s="39">
        <f>AQ118*0.740686632578525</f>
        <v>0</v>
      </c>
      <c r="IS118" s="39">
        <f>AQ118*(1-0.740686632578525)</f>
        <v>0</v>
      </c>
    </row>
    <row r="119" spans="1:253" ht="12.75">
      <c r="A119" s="97" t="s">
        <v>88</v>
      </c>
      <c r="B119" s="98"/>
      <c r="C119" s="97" t="s">
        <v>208</v>
      </c>
      <c r="D119" s="98"/>
      <c r="E119" s="98"/>
      <c r="F119" s="98"/>
      <c r="G119" s="98"/>
      <c r="H119" s="98"/>
      <c r="I119" s="97" t="s">
        <v>379</v>
      </c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7" t="s">
        <v>448</v>
      </c>
      <c r="AK119" s="98"/>
      <c r="AL119" s="99">
        <f>'Stavební rozpočet'!F152</f>
        <v>6</v>
      </c>
      <c r="AM119" s="100"/>
      <c r="AN119" s="100"/>
      <c r="AO119" s="100"/>
      <c r="AP119" s="100"/>
      <c r="AQ119" s="99">
        <f>'Stavební rozpočet'!G152</f>
        <v>0</v>
      </c>
      <c r="AR119" s="100"/>
      <c r="AS119" s="100"/>
      <c r="AT119" s="100"/>
      <c r="AU119" s="100"/>
      <c r="AV119" s="100"/>
      <c r="AW119" s="100"/>
      <c r="AX119" s="100"/>
      <c r="AY119" s="99">
        <f t="shared" si="6"/>
        <v>0</v>
      </c>
      <c r="AZ119" s="100"/>
      <c r="BA119" s="100"/>
      <c r="BB119" s="100"/>
      <c r="BC119" s="100"/>
      <c r="BD119" s="100"/>
      <c r="BE119" s="100"/>
      <c r="BF119" s="100"/>
      <c r="BG119" s="99">
        <f>'Stavební rozpočet'!K152</f>
        <v>0.025</v>
      </c>
      <c r="BH119" s="100"/>
      <c r="BI119" s="100"/>
      <c r="BJ119" s="100"/>
      <c r="BK119" s="100"/>
      <c r="BL119" s="100"/>
      <c r="BM119" s="100"/>
      <c r="BN119" s="100"/>
      <c r="BO119" s="99">
        <f t="shared" si="7"/>
        <v>0.15000000000000002</v>
      </c>
      <c r="BP119" s="100"/>
      <c r="BQ119" s="100"/>
      <c r="BR119" s="100"/>
      <c r="BS119" s="100"/>
      <c r="BT119" s="100"/>
      <c r="BU119" s="100"/>
      <c r="BV119" s="100"/>
      <c r="IR119" s="39">
        <f>AQ119*0.740810556079171</f>
        <v>0</v>
      </c>
      <c r="IS119" s="39">
        <f>AQ119*(1-0.740810556079171)</f>
        <v>0</v>
      </c>
    </row>
    <row r="120" spans="1:253" ht="12.75">
      <c r="A120" s="97" t="s">
        <v>89</v>
      </c>
      <c r="B120" s="98"/>
      <c r="C120" s="97" t="s">
        <v>209</v>
      </c>
      <c r="D120" s="98"/>
      <c r="E120" s="98"/>
      <c r="F120" s="98"/>
      <c r="G120" s="98"/>
      <c r="H120" s="98"/>
      <c r="I120" s="97" t="s">
        <v>380</v>
      </c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7" t="s">
        <v>448</v>
      </c>
      <c r="AK120" s="98"/>
      <c r="AL120" s="99">
        <f>'Stavební rozpočet'!F154</f>
        <v>6</v>
      </c>
      <c r="AM120" s="100"/>
      <c r="AN120" s="100"/>
      <c r="AO120" s="100"/>
      <c r="AP120" s="100"/>
      <c r="AQ120" s="99">
        <f>'Stavební rozpočet'!G154</f>
        <v>0</v>
      </c>
      <c r="AR120" s="100"/>
      <c r="AS120" s="100"/>
      <c r="AT120" s="100"/>
      <c r="AU120" s="100"/>
      <c r="AV120" s="100"/>
      <c r="AW120" s="100"/>
      <c r="AX120" s="100"/>
      <c r="AY120" s="99">
        <f t="shared" si="6"/>
        <v>0</v>
      </c>
      <c r="AZ120" s="100"/>
      <c r="BA120" s="100"/>
      <c r="BB120" s="100"/>
      <c r="BC120" s="100"/>
      <c r="BD120" s="100"/>
      <c r="BE120" s="100"/>
      <c r="BF120" s="100"/>
      <c r="BG120" s="99">
        <f>'Stavební rozpočet'!K154</f>
        <v>0.055</v>
      </c>
      <c r="BH120" s="100"/>
      <c r="BI120" s="100"/>
      <c r="BJ120" s="100"/>
      <c r="BK120" s="100"/>
      <c r="BL120" s="100"/>
      <c r="BM120" s="100"/>
      <c r="BN120" s="100"/>
      <c r="BO120" s="99">
        <f t="shared" si="7"/>
        <v>0.33</v>
      </c>
      <c r="BP120" s="100"/>
      <c r="BQ120" s="100"/>
      <c r="BR120" s="100"/>
      <c r="BS120" s="100"/>
      <c r="BT120" s="100"/>
      <c r="BU120" s="100"/>
      <c r="BV120" s="100"/>
      <c r="IR120" s="39">
        <f>AQ120*0.740740740740741</f>
        <v>0</v>
      </c>
      <c r="IS120" s="39">
        <f>AQ120*(1-0.740740740740741)</f>
        <v>0</v>
      </c>
    </row>
    <row r="121" spans="1:253" ht="12.75">
      <c r="A121" s="97" t="s">
        <v>90</v>
      </c>
      <c r="B121" s="98"/>
      <c r="C121" s="97" t="s">
        <v>210</v>
      </c>
      <c r="D121" s="98"/>
      <c r="E121" s="98"/>
      <c r="F121" s="98"/>
      <c r="G121" s="98"/>
      <c r="H121" s="98"/>
      <c r="I121" s="97" t="s">
        <v>381</v>
      </c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  <c r="AF121" s="98"/>
      <c r="AG121" s="98"/>
      <c r="AH121" s="98"/>
      <c r="AI121" s="98"/>
      <c r="AJ121" s="97" t="s">
        <v>439</v>
      </c>
      <c r="AK121" s="98"/>
      <c r="AL121" s="99">
        <f>'Stavební rozpočet'!F156</f>
        <v>0</v>
      </c>
      <c r="AM121" s="100"/>
      <c r="AN121" s="100"/>
      <c r="AO121" s="100"/>
      <c r="AP121" s="100"/>
      <c r="AQ121" s="99">
        <f>'Stavební rozpočet'!G156</f>
        <v>0</v>
      </c>
      <c r="AR121" s="100"/>
      <c r="AS121" s="100"/>
      <c r="AT121" s="100"/>
      <c r="AU121" s="100"/>
      <c r="AV121" s="100"/>
      <c r="AW121" s="100"/>
      <c r="AX121" s="100"/>
      <c r="AY121" s="99">
        <f t="shared" si="6"/>
        <v>0</v>
      </c>
      <c r="AZ121" s="100"/>
      <c r="BA121" s="100"/>
      <c r="BB121" s="100"/>
      <c r="BC121" s="100"/>
      <c r="BD121" s="100"/>
      <c r="BE121" s="100"/>
      <c r="BF121" s="100"/>
      <c r="BG121" s="99">
        <f>'Stavební rozpočet'!K156</f>
        <v>0</v>
      </c>
      <c r="BH121" s="100"/>
      <c r="BI121" s="100"/>
      <c r="BJ121" s="100"/>
      <c r="BK121" s="100"/>
      <c r="BL121" s="100"/>
      <c r="BM121" s="100"/>
      <c r="BN121" s="100"/>
      <c r="BO121" s="99">
        <f t="shared" si="7"/>
        <v>0</v>
      </c>
      <c r="BP121" s="100"/>
      <c r="BQ121" s="100"/>
      <c r="BR121" s="100"/>
      <c r="BS121" s="100"/>
      <c r="BT121" s="100"/>
      <c r="BU121" s="100"/>
      <c r="BV121" s="100"/>
      <c r="IR121" s="39">
        <f>AQ121*0</f>
        <v>0</v>
      </c>
      <c r="IS121" s="39">
        <f>AQ121*(1-0)</f>
        <v>0</v>
      </c>
    </row>
    <row r="122" spans="1:74" ht="12.75">
      <c r="A122" s="101" t="s">
        <v>6</v>
      </c>
      <c r="B122" s="102"/>
      <c r="C122" s="101" t="s">
        <v>95</v>
      </c>
      <c r="D122" s="102"/>
      <c r="E122" s="102"/>
      <c r="F122" s="102"/>
      <c r="G122" s="102"/>
      <c r="H122" s="102"/>
      <c r="I122" s="101" t="s">
        <v>382</v>
      </c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101" t="s">
        <v>6</v>
      </c>
      <c r="AK122" s="102"/>
      <c r="AL122" s="103" t="s">
        <v>6</v>
      </c>
      <c r="AM122" s="104"/>
      <c r="AN122" s="104"/>
      <c r="AO122" s="104"/>
      <c r="AP122" s="104"/>
      <c r="AQ122" s="103" t="s">
        <v>6</v>
      </c>
      <c r="AR122" s="104"/>
      <c r="AS122" s="104"/>
      <c r="AT122" s="104"/>
      <c r="AU122" s="104"/>
      <c r="AV122" s="104"/>
      <c r="AW122" s="104"/>
      <c r="AX122" s="104"/>
      <c r="AY122" s="105">
        <f>SUM(AY123:AY124)</f>
        <v>0</v>
      </c>
      <c r="AZ122" s="104"/>
      <c r="BA122" s="104"/>
      <c r="BB122" s="104"/>
      <c r="BC122" s="104"/>
      <c r="BD122" s="104"/>
      <c r="BE122" s="104"/>
      <c r="BF122" s="104"/>
      <c r="BG122" s="103" t="s">
        <v>6</v>
      </c>
      <c r="BH122" s="104"/>
      <c r="BI122" s="104"/>
      <c r="BJ122" s="104"/>
      <c r="BK122" s="104"/>
      <c r="BL122" s="104"/>
      <c r="BM122" s="104"/>
      <c r="BN122" s="104"/>
      <c r="BO122" s="105">
        <f>SUM(BO123:BO124)</f>
        <v>0.74138</v>
      </c>
      <c r="BP122" s="104"/>
      <c r="BQ122" s="104"/>
      <c r="BR122" s="104"/>
      <c r="BS122" s="104"/>
      <c r="BT122" s="104"/>
      <c r="BU122" s="104"/>
      <c r="BV122" s="104"/>
    </row>
    <row r="123" spans="1:253" ht="12.75">
      <c r="A123" s="97" t="s">
        <v>91</v>
      </c>
      <c r="B123" s="98"/>
      <c r="C123" s="97" t="s">
        <v>211</v>
      </c>
      <c r="D123" s="98"/>
      <c r="E123" s="98"/>
      <c r="F123" s="98"/>
      <c r="G123" s="98"/>
      <c r="H123" s="98"/>
      <c r="I123" s="97" t="s">
        <v>383</v>
      </c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  <c r="AH123" s="98"/>
      <c r="AI123" s="98"/>
      <c r="AJ123" s="97" t="s">
        <v>448</v>
      </c>
      <c r="AK123" s="98"/>
      <c r="AL123" s="99">
        <f>'Stavební rozpočet'!F158</f>
        <v>6</v>
      </c>
      <c r="AM123" s="100"/>
      <c r="AN123" s="100"/>
      <c r="AO123" s="100"/>
      <c r="AP123" s="100"/>
      <c r="AQ123" s="99">
        <f>'Stavební rozpočet'!G158</f>
        <v>0</v>
      </c>
      <c r="AR123" s="100"/>
      <c r="AS123" s="100"/>
      <c r="AT123" s="100"/>
      <c r="AU123" s="100"/>
      <c r="AV123" s="100"/>
      <c r="AW123" s="100"/>
      <c r="AX123" s="100"/>
      <c r="AY123" s="99">
        <f>IR123*AL123+IS123*AL123</f>
        <v>0</v>
      </c>
      <c r="AZ123" s="100"/>
      <c r="BA123" s="100"/>
      <c r="BB123" s="100"/>
      <c r="BC123" s="100"/>
      <c r="BD123" s="100"/>
      <c r="BE123" s="100"/>
      <c r="BF123" s="100"/>
      <c r="BG123" s="99">
        <f>'Stavební rozpočet'!K158</f>
        <v>0.12303</v>
      </c>
      <c r="BH123" s="100"/>
      <c r="BI123" s="100"/>
      <c r="BJ123" s="100"/>
      <c r="BK123" s="100"/>
      <c r="BL123" s="100"/>
      <c r="BM123" s="100"/>
      <c r="BN123" s="100"/>
      <c r="BO123" s="99">
        <f>BG123*AL123</f>
        <v>0.7381800000000001</v>
      </c>
      <c r="BP123" s="100"/>
      <c r="BQ123" s="100"/>
      <c r="BR123" s="100"/>
      <c r="BS123" s="100"/>
      <c r="BT123" s="100"/>
      <c r="BU123" s="100"/>
      <c r="BV123" s="100"/>
      <c r="IR123" s="39">
        <f>AQ123*0.331204215653007</f>
        <v>0</v>
      </c>
      <c r="IS123" s="39">
        <f>AQ123*(1-0.331204215653007)</f>
        <v>0</v>
      </c>
    </row>
    <row r="124" spans="1:253" ht="12.75">
      <c r="A124" s="97" t="s">
        <v>92</v>
      </c>
      <c r="B124" s="98"/>
      <c r="C124" s="97" t="s">
        <v>212</v>
      </c>
      <c r="D124" s="98"/>
      <c r="E124" s="98"/>
      <c r="F124" s="98"/>
      <c r="G124" s="98"/>
      <c r="H124" s="98"/>
      <c r="I124" s="97" t="s">
        <v>384</v>
      </c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7" t="s">
        <v>443</v>
      </c>
      <c r="AK124" s="98"/>
      <c r="AL124" s="99">
        <f>'Stavební rozpočet'!F159</f>
        <v>160</v>
      </c>
      <c r="AM124" s="100"/>
      <c r="AN124" s="100"/>
      <c r="AO124" s="100"/>
      <c r="AP124" s="100"/>
      <c r="AQ124" s="99">
        <f>'Stavební rozpočet'!G159</f>
        <v>0</v>
      </c>
      <c r="AR124" s="100"/>
      <c r="AS124" s="100"/>
      <c r="AT124" s="100"/>
      <c r="AU124" s="100"/>
      <c r="AV124" s="100"/>
      <c r="AW124" s="100"/>
      <c r="AX124" s="100"/>
      <c r="AY124" s="99">
        <f>IR124*AL124+IS124*AL124</f>
        <v>0</v>
      </c>
      <c r="AZ124" s="100"/>
      <c r="BA124" s="100"/>
      <c r="BB124" s="100"/>
      <c r="BC124" s="100"/>
      <c r="BD124" s="100"/>
      <c r="BE124" s="100"/>
      <c r="BF124" s="100"/>
      <c r="BG124" s="99">
        <f>'Stavební rozpočet'!K159</f>
        <v>2E-05</v>
      </c>
      <c r="BH124" s="100"/>
      <c r="BI124" s="100"/>
      <c r="BJ124" s="100"/>
      <c r="BK124" s="100"/>
      <c r="BL124" s="100"/>
      <c r="BM124" s="100"/>
      <c r="BN124" s="100"/>
      <c r="BO124" s="99">
        <f>BG124*AL124</f>
        <v>0.0032</v>
      </c>
      <c r="BP124" s="100"/>
      <c r="BQ124" s="100"/>
      <c r="BR124" s="100"/>
      <c r="BS124" s="100"/>
      <c r="BT124" s="100"/>
      <c r="BU124" s="100"/>
      <c r="BV124" s="100"/>
      <c r="IR124" s="39">
        <f>AQ124*0.237753102547355</f>
        <v>0</v>
      </c>
      <c r="IS124" s="39">
        <f>AQ124*(1-0.237753102547355)</f>
        <v>0</v>
      </c>
    </row>
    <row r="125" spans="1:74" ht="12.75">
      <c r="A125" s="101" t="s">
        <v>6</v>
      </c>
      <c r="B125" s="102"/>
      <c r="C125" s="101" t="s">
        <v>97</v>
      </c>
      <c r="D125" s="102"/>
      <c r="E125" s="102"/>
      <c r="F125" s="102"/>
      <c r="G125" s="102"/>
      <c r="H125" s="102"/>
      <c r="I125" s="101" t="s">
        <v>385</v>
      </c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1" t="s">
        <v>6</v>
      </c>
      <c r="AK125" s="102"/>
      <c r="AL125" s="103" t="s">
        <v>6</v>
      </c>
      <c r="AM125" s="104"/>
      <c r="AN125" s="104"/>
      <c r="AO125" s="104"/>
      <c r="AP125" s="104"/>
      <c r="AQ125" s="103" t="s">
        <v>6</v>
      </c>
      <c r="AR125" s="104"/>
      <c r="AS125" s="104"/>
      <c r="AT125" s="104"/>
      <c r="AU125" s="104"/>
      <c r="AV125" s="104"/>
      <c r="AW125" s="104"/>
      <c r="AX125" s="104"/>
      <c r="AY125" s="105">
        <f>SUM(AY126:AY128)</f>
        <v>0</v>
      </c>
      <c r="AZ125" s="104"/>
      <c r="BA125" s="104"/>
      <c r="BB125" s="104"/>
      <c r="BC125" s="104"/>
      <c r="BD125" s="104"/>
      <c r="BE125" s="104"/>
      <c r="BF125" s="104"/>
      <c r="BG125" s="103" t="s">
        <v>6</v>
      </c>
      <c r="BH125" s="104"/>
      <c r="BI125" s="104"/>
      <c r="BJ125" s="104"/>
      <c r="BK125" s="104"/>
      <c r="BL125" s="104"/>
      <c r="BM125" s="104"/>
      <c r="BN125" s="104"/>
      <c r="BO125" s="105">
        <f>SUM(BO126:BO128)</f>
        <v>0</v>
      </c>
      <c r="BP125" s="104"/>
      <c r="BQ125" s="104"/>
      <c r="BR125" s="104"/>
      <c r="BS125" s="104"/>
      <c r="BT125" s="104"/>
      <c r="BU125" s="104"/>
      <c r="BV125" s="104"/>
    </row>
    <row r="126" spans="1:253" ht="12.75">
      <c r="A126" s="97" t="s">
        <v>93</v>
      </c>
      <c r="B126" s="98"/>
      <c r="C126" s="97" t="s">
        <v>213</v>
      </c>
      <c r="D126" s="98"/>
      <c r="E126" s="98"/>
      <c r="F126" s="98"/>
      <c r="G126" s="98"/>
      <c r="H126" s="98"/>
      <c r="I126" s="97" t="s">
        <v>386</v>
      </c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7" t="s">
        <v>443</v>
      </c>
      <c r="AK126" s="98"/>
      <c r="AL126" s="99">
        <f>'Stavební rozpočet'!F161</f>
        <v>6</v>
      </c>
      <c r="AM126" s="100"/>
      <c r="AN126" s="100"/>
      <c r="AO126" s="100"/>
      <c r="AP126" s="100"/>
      <c r="AQ126" s="99">
        <f>'Stavební rozpočet'!G161</f>
        <v>0</v>
      </c>
      <c r="AR126" s="100"/>
      <c r="AS126" s="100"/>
      <c r="AT126" s="100"/>
      <c r="AU126" s="100"/>
      <c r="AV126" s="100"/>
      <c r="AW126" s="100"/>
      <c r="AX126" s="100"/>
      <c r="AY126" s="99">
        <f>IR126*AL126+IS126*AL126</f>
        <v>0</v>
      </c>
      <c r="AZ126" s="100"/>
      <c r="BA126" s="100"/>
      <c r="BB126" s="100"/>
      <c r="BC126" s="100"/>
      <c r="BD126" s="100"/>
      <c r="BE126" s="100"/>
      <c r="BF126" s="100"/>
      <c r="BG126" s="99">
        <f>'Stavební rozpočet'!K161</f>
        <v>0</v>
      </c>
      <c r="BH126" s="100"/>
      <c r="BI126" s="100"/>
      <c r="BJ126" s="100"/>
      <c r="BK126" s="100"/>
      <c r="BL126" s="100"/>
      <c r="BM126" s="100"/>
      <c r="BN126" s="100"/>
      <c r="BO126" s="99">
        <f>BG126*AL126</f>
        <v>0</v>
      </c>
      <c r="BP126" s="100"/>
      <c r="BQ126" s="100"/>
      <c r="BR126" s="100"/>
      <c r="BS126" s="100"/>
      <c r="BT126" s="100"/>
      <c r="BU126" s="100"/>
      <c r="BV126" s="100"/>
      <c r="IR126" s="39">
        <f>AQ126*0</f>
        <v>0</v>
      </c>
      <c r="IS126" s="39">
        <f>AQ126*(1-0)</f>
        <v>0</v>
      </c>
    </row>
    <row r="127" spans="1:253" ht="12.75">
      <c r="A127" s="97" t="s">
        <v>94</v>
      </c>
      <c r="B127" s="98"/>
      <c r="C127" s="97" t="s">
        <v>214</v>
      </c>
      <c r="D127" s="98"/>
      <c r="E127" s="98"/>
      <c r="F127" s="98"/>
      <c r="G127" s="98"/>
      <c r="H127" s="98"/>
      <c r="I127" s="97" t="s">
        <v>387</v>
      </c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98"/>
      <c r="AJ127" s="97" t="s">
        <v>443</v>
      </c>
      <c r="AK127" s="98"/>
      <c r="AL127" s="99">
        <f>'Stavební rozpočet'!F162</f>
        <v>6</v>
      </c>
      <c r="AM127" s="100"/>
      <c r="AN127" s="100"/>
      <c r="AO127" s="100"/>
      <c r="AP127" s="100"/>
      <c r="AQ127" s="99">
        <f>'Stavební rozpočet'!G162</f>
        <v>0</v>
      </c>
      <c r="AR127" s="100"/>
      <c r="AS127" s="100"/>
      <c r="AT127" s="100"/>
      <c r="AU127" s="100"/>
      <c r="AV127" s="100"/>
      <c r="AW127" s="100"/>
      <c r="AX127" s="100"/>
      <c r="AY127" s="99">
        <f>IR127*AL127+IS127*AL127</f>
        <v>0</v>
      </c>
      <c r="AZ127" s="100"/>
      <c r="BA127" s="100"/>
      <c r="BB127" s="100"/>
      <c r="BC127" s="100"/>
      <c r="BD127" s="100"/>
      <c r="BE127" s="100"/>
      <c r="BF127" s="100"/>
      <c r="BG127" s="99">
        <f>'Stavební rozpočet'!K162</f>
        <v>0</v>
      </c>
      <c r="BH127" s="100"/>
      <c r="BI127" s="100"/>
      <c r="BJ127" s="100"/>
      <c r="BK127" s="100"/>
      <c r="BL127" s="100"/>
      <c r="BM127" s="100"/>
      <c r="BN127" s="100"/>
      <c r="BO127" s="99">
        <f>BG127*AL127</f>
        <v>0</v>
      </c>
      <c r="BP127" s="100"/>
      <c r="BQ127" s="100"/>
      <c r="BR127" s="100"/>
      <c r="BS127" s="100"/>
      <c r="BT127" s="100"/>
      <c r="BU127" s="100"/>
      <c r="BV127" s="100"/>
      <c r="IR127" s="39">
        <f>AQ127*0.561097256857855</f>
        <v>0</v>
      </c>
      <c r="IS127" s="39">
        <f>AQ127*(1-0.561097256857855)</f>
        <v>0</v>
      </c>
    </row>
    <row r="128" spans="1:253" ht="12.75">
      <c r="A128" s="97" t="s">
        <v>95</v>
      </c>
      <c r="B128" s="98"/>
      <c r="C128" s="97" t="s">
        <v>215</v>
      </c>
      <c r="D128" s="98"/>
      <c r="E128" s="98"/>
      <c r="F128" s="98"/>
      <c r="G128" s="98"/>
      <c r="H128" s="98"/>
      <c r="I128" s="97" t="s">
        <v>388</v>
      </c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  <c r="AH128" s="98"/>
      <c r="AI128" s="98"/>
      <c r="AJ128" s="97" t="s">
        <v>443</v>
      </c>
      <c r="AK128" s="98"/>
      <c r="AL128" s="99">
        <f>'Stavební rozpočet'!F163</f>
        <v>4.8</v>
      </c>
      <c r="AM128" s="100"/>
      <c r="AN128" s="100"/>
      <c r="AO128" s="100"/>
      <c r="AP128" s="100"/>
      <c r="AQ128" s="99">
        <f>'Stavební rozpočet'!G163</f>
        <v>0</v>
      </c>
      <c r="AR128" s="100"/>
      <c r="AS128" s="100"/>
      <c r="AT128" s="100"/>
      <c r="AU128" s="100"/>
      <c r="AV128" s="100"/>
      <c r="AW128" s="100"/>
      <c r="AX128" s="100"/>
      <c r="AY128" s="99">
        <f>IR128*AL128+IS128*AL128</f>
        <v>0</v>
      </c>
      <c r="AZ128" s="100"/>
      <c r="BA128" s="100"/>
      <c r="BB128" s="100"/>
      <c r="BC128" s="100"/>
      <c r="BD128" s="100"/>
      <c r="BE128" s="100"/>
      <c r="BF128" s="100"/>
      <c r="BG128" s="99">
        <f>'Stavební rozpočet'!K163</f>
        <v>0</v>
      </c>
      <c r="BH128" s="100"/>
      <c r="BI128" s="100"/>
      <c r="BJ128" s="100"/>
      <c r="BK128" s="100"/>
      <c r="BL128" s="100"/>
      <c r="BM128" s="100"/>
      <c r="BN128" s="100"/>
      <c r="BO128" s="99">
        <f>BG128*AL128</f>
        <v>0</v>
      </c>
      <c r="BP128" s="100"/>
      <c r="BQ128" s="100"/>
      <c r="BR128" s="100"/>
      <c r="BS128" s="100"/>
      <c r="BT128" s="100"/>
      <c r="BU128" s="100"/>
      <c r="BV128" s="100"/>
      <c r="IR128" s="39">
        <f>AQ128*0.617647058823529</f>
        <v>0</v>
      </c>
      <c r="IS128" s="39">
        <f>AQ128*(1-0.617647058823529)</f>
        <v>0</v>
      </c>
    </row>
    <row r="129" spans="1:74" ht="12.75">
      <c r="A129" s="101" t="s">
        <v>6</v>
      </c>
      <c r="B129" s="102"/>
      <c r="C129" s="101" t="s">
        <v>99</v>
      </c>
      <c r="D129" s="102"/>
      <c r="E129" s="102"/>
      <c r="F129" s="102"/>
      <c r="G129" s="102"/>
      <c r="H129" s="102"/>
      <c r="I129" s="101" t="s">
        <v>389</v>
      </c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  <c r="AH129" s="102"/>
      <c r="AI129" s="102"/>
      <c r="AJ129" s="101" t="s">
        <v>6</v>
      </c>
      <c r="AK129" s="102"/>
      <c r="AL129" s="103" t="s">
        <v>6</v>
      </c>
      <c r="AM129" s="104"/>
      <c r="AN129" s="104"/>
      <c r="AO129" s="104"/>
      <c r="AP129" s="104"/>
      <c r="AQ129" s="103" t="s">
        <v>6</v>
      </c>
      <c r="AR129" s="104"/>
      <c r="AS129" s="104"/>
      <c r="AT129" s="104"/>
      <c r="AU129" s="104"/>
      <c r="AV129" s="104"/>
      <c r="AW129" s="104"/>
      <c r="AX129" s="104"/>
      <c r="AY129" s="105">
        <f>SUM(AY130:AY130)</f>
        <v>0</v>
      </c>
      <c r="AZ129" s="104"/>
      <c r="BA129" s="104"/>
      <c r="BB129" s="104"/>
      <c r="BC129" s="104"/>
      <c r="BD129" s="104"/>
      <c r="BE129" s="104"/>
      <c r="BF129" s="104"/>
      <c r="BG129" s="103" t="s">
        <v>6</v>
      </c>
      <c r="BH129" s="104"/>
      <c r="BI129" s="104"/>
      <c r="BJ129" s="104"/>
      <c r="BK129" s="104"/>
      <c r="BL129" s="104"/>
      <c r="BM129" s="104"/>
      <c r="BN129" s="104"/>
      <c r="BO129" s="105">
        <f>SUM(BO130:BO130)</f>
        <v>0</v>
      </c>
      <c r="BP129" s="104"/>
      <c r="BQ129" s="104"/>
      <c r="BR129" s="104"/>
      <c r="BS129" s="104"/>
      <c r="BT129" s="104"/>
      <c r="BU129" s="104"/>
      <c r="BV129" s="104"/>
    </row>
    <row r="130" spans="1:253" ht="12.75">
      <c r="A130" s="97" t="s">
        <v>96</v>
      </c>
      <c r="B130" s="98"/>
      <c r="C130" s="97" t="s">
        <v>216</v>
      </c>
      <c r="D130" s="98"/>
      <c r="E130" s="98"/>
      <c r="F130" s="98"/>
      <c r="G130" s="98"/>
      <c r="H130" s="98"/>
      <c r="I130" s="97" t="s">
        <v>390</v>
      </c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  <c r="AG130" s="98"/>
      <c r="AH130" s="98"/>
      <c r="AI130" s="98"/>
      <c r="AJ130" s="97" t="s">
        <v>442</v>
      </c>
      <c r="AK130" s="98"/>
      <c r="AL130" s="99">
        <f>'Stavební rozpočet'!F165</f>
        <v>9.12</v>
      </c>
      <c r="AM130" s="100"/>
      <c r="AN130" s="100"/>
      <c r="AO130" s="100"/>
      <c r="AP130" s="100"/>
      <c r="AQ130" s="99">
        <f>'Stavební rozpočet'!G165</f>
        <v>0</v>
      </c>
      <c r="AR130" s="100"/>
      <c r="AS130" s="100"/>
      <c r="AT130" s="100"/>
      <c r="AU130" s="100"/>
      <c r="AV130" s="100"/>
      <c r="AW130" s="100"/>
      <c r="AX130" s="100"/>
      <c r="AY130" s="99">
        <f>IR130*AL130+IS130*AL130</f>
        <v>0</v>
      </c>
      <c r="AZ130" s="100"/>
      <c r="BA130" s="100"/>
      <c r="BB130" s="100"/>
      <c r="BC130" s="100"/>
      <c r="BD130" s="100"/>
      <c r="BE130" s="100"/>
      <c r="BF130" s="100"/>
      <c r="BG130" s="99">
        <f>'Stavební rozpočet'!K165</f>
        <v>0</v>
      </c>
      <c r="BH130" s="100"/>
      <c r="BI130" s="100"/>
      <c r="BJ130" s="100"/>
      <c r="BK130" s="100"/>
      <c r="BL130" s="100"/>
      <c r="BM130" s="100"/>
      <c r="BN130" s="100"/>
      <c r="BO130" s="99">
        <f>BG130*AL130</f>
        <v>0</v>
      </c>
      <c r="BP130" s="100"/>
      <c r="BQ130" s="100"/>
      <c r="BR130" s="100"/>
      <c r="BS130" s="100"/>
      <c r="BT130" s="100"/>
      <c r="BU130" s="100"/>
      <c r="BV130" s="100"/>
      <c r="IR130" s="39">
        <f>AQ130*0</f>
        <v>0</v>
      </c>
      <c r="IS130" s="39">
        <f>AQ130*(1-0)</f>
        <v>0</v>
      </c>
    </row>
    <row r="131" spans="1:74" ht="12.75">
      <c r="A131" s="101" t="s">
        <v>6</v>
      </c>
      <c r="B131" s="102"/>
      <c r="C131" s="101" t="s">
        <v>102</v>
      </c>
      <c r="D131" s="102"/>
      <c r="E131" s="102"/>
      <c r="F131" s="102"/>
      <c r="G131" s="102"/>
      <c r="H131" s="102"/>
      <c r="I131" s="101" t="s">
        <v>391</v>
      </c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102"/>
      <c r="AH131" s="102"/>
      <c r="AI131" s="102"/>
      <c r="AJ131" s="101" t="s">
        <v>6</v>
      </c>
      <c r="AK131" s="102"/>
      <c r="AL131" s="103" t="s">
        <v>6</v>
      </c>
      <c r="AM131" s="104"/>
      <c r="AN131" s="104"/>
      <c r="AO131" s="104"/>
      <c r="AP131" s="104"/>
      <c r="AQ131" s="103" t="s">
        <v>6</v>
      </c>
      <c r="AR131" s="104"/>
      <c r="AS131" s="104"/>
      <c r="AT131" s="104"/>
      <c r="AU131" s="104"/>
      <c r="AV131" s="104"/>
      <c r="AW131" s="104"/>
      <c r="AX131" s="104"/>
      <c r="AY131" s="105">
        <f>SUM(AY132:AY135)</f>
        <v>0</v>
      </c>
      <c r="AZ131" s="104"/>
      <c r="BA131" s="104"/>
      <c r="BB131" s="104"/>
      <c r="BC131" s="104"/>
      <c r="BD131" s="104"/>
      <c r="BE131" s="104"/>
      <c r="BF131" s="104"/>
      <c r="BG131" s="103" t="s">
        <v>6</v>
      </c>
      <c r="BH131" s="104"/>
      <c r="BI131" s="104"/>
      <c r="BJ131" s="104"/>
      <c r="BK131" s="104"/>
      <c r="BL131" s="104"/>
      <c r="BM131" s="104"/>
      <c r="BN131" s="104"/>
      <c r="BO131" s="105">
        <f>SUM(BO132:BO135)</f>
        <v>1.87914</v>
      </c>
      <c r="BP131" s="104"/>
      <c r="BQ131" s="104"/>
      <c r="BR131" s="104"/>
      <c r="BS131" s="104"/>
      <c r="BT131" s="104"/>
      <c r="BU131" s="104"/>
      <c r="BV131" s="104"/>
    </row>
    <row r="132" spans="1:253" ht="12.75">
      <c r="A132" s="97" t="s">
        <v>97</v>
      </c>
      <c r="B132" s="98"/>
      <c r="C132" s="97" t="s">
        <v>217</v>
      </c>
      <c r="D132" s="98"/>
      <c r="E132" s="98"/>
      <c r="F132" s="98"/>
      <c r="G132" s="98"/>
      <c r="H132" s="98"/>
      <c r="I132" s="97" t="s">
        <v>392</v>
      </c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  <c r="AH132" s="98"/>
      <c r="AI132" s="98"/>
      <c r="AJ132" s="97" t="s">
        <v>446</v>
      </c>
      <c r="AK132" s="98"/>
      <c r="AL132" s="99">
        <f>'Stavební rozpočet'!F167</f>
        <v>0.4</v>
      </c>
      <c r="AM132" s="100"/>
      <c r="AN132" s="100"/>
      <c r="AO132" s="100"/>
      <c r="AP132" s="100"/>
      <c r="AQ132" s="99">
        <f>'Stavební rozpočet'!G167</f>
        <v>0</v>
      </c>
      <c r="AR132" s="100"/>
      <c r="AS132" s="100"/>
      <c r="AT132" s="100"/>
      <c r="AU132" s="100"/>
      <c r="AV132" s="100"/>
      <c r="AW132" s="100"/>
      <c r="AX132" s="100"/>
      <c r="AY132" s="99">
        <f>IR132*AL132+IS132*AL132</f>
        <v>0</v>
      </c>
      <c r="AZ132" s="100"/>
      <c r="BA132" s="100"/>
      <c r="BB132" s="100"/>
      <c r="BC132" s="100"/>
      <c r="BD132" s="100"/>
      <c r="BE132" s="100"/>
      <c r="BF132" s="100"/>
      <c r="BG132" s="99">
        <f>'Stavební rozpočet'!K167</f>
        <v>2.2</v>
      </c>
      <c r="BH132" s="100"/>
      <c r="BI132" s="100"/>
      <c r="BJ132" s="100"/>
      <c r="BK132" s="100"/>
      <c r="BL132" s="100"/>
      <c r="BM132" s="100"/>
      <c r="BN132" s="100"/>
      <c r="BO132" s="99">
        <f>BG132*AL132</f>
        <v>0.8800000000000001</v>
      </c>
      <c r="BP132" s="100"/>
      <c r="BQ132" s="100"/>
      <c r="BR132" s="100"/>
      <c r="BS132" s="100"/>
      <c r="BT132" s="100"/>
      <c r="BU132" s="100"/>
      <c r="BV132" s="100"/>
      <c r="IR132" s="39">
        <f>AQ132*0</f>
        <v>0</v>
      </c>
      <c r="IS132" s="39">
        <f>AQ132*(1-0)</f>
        <v>0</v>
      </c>
    </row>
    <row r="133" spans="1:253" ht="12.75">
      <c r="A133" s="97" t="s">
        <v>98</v>
      </c>
      <c r="B133" s="98"/>
      <c r="C133" s="97" t="s">
        <v>218</v>
      </c>
      <c r="D133" s="98"/>
      <c r="E133" s="98"/>
      <c r="F133" s="98"/>
      <c r="G133" s="98"/>
      <c r="H133" s="98"/>
      <c r="I133" s="97" t="s">
        <v>394</v>
      </c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  <c r="AD133" s="98"/>
      <c r="AE133" s="98"/>
      <c r="AF133" s="98"/>
      <c r="AG133" s="98"/>
      <c r="AH133" s="98"/>
      <c r="AI133" s="98"/>
      <c r="AJ133" s="97" t="s">
        <v>446</v>
      </c>
      <c r="AK133" s="98"/>
      <c r="AL133" s="99">
        <f>'Stavební rozpočet'!F169</f>
        <v>0.384</v>
      </c>
      <c r="AM133" s="100"/>
      <c r="AN133" s="100"/>
      <c r="AO133" s="100"/>
      <c r="AP133" s="100"/>
      <c r="AQ133" s="99">
        <f>'Stavební rozpočet'!G169</f>
        <v>0</v>
      </c>
      <c r="AR133" s="100"/>
      <c r="AS133" s="100"/>
      <c r="AT133" s="100"/>
      <c r="AU133" s="100"/>
      <c r="AV133" s="100"/>
      <c r="AW133" s="100"/>
      <c r="AX133" s="100"/>
      <c r="AY133" s="99">
        <f>IR133*AL133+IS133*AL133</f>
        <v>0</v>
      </c>
      <c r="AZ133" s="100"/>
      <c r="BA133" s="100"/>
      <c r="BB133" s="100"/>
      <c r="BC133" s="100"/>
      <c r="BD133" s="100"/>
      <c r="BE133" s="100"/>
      <c r="BF133" s="100"/>
      <c r="BG133" s="99">
        <f>'Stavební rozpočet'!K169</f>
        <v>2.2</v>
      </c>
      <c r="BH133" s="100"/>
      <c r="BI133" s="100"/>
      <c r="BJ133" s="100"/>
      <c r="BK133" s="100"/>
      <c r="BL133" s="100"/>
      <c r="BM133" s="100"/>
      <c r="BN133" s="100"/>
      <c r="BO133" s="99">
        <f>BG133*AL133</f>
        <v>0.8448000000000001</v>
      </c>
      <c r="BP133" s="100"/>
      <c r="BQ133" s="100"/>
      <c r="BR133" s="100"/>
      <c r="BS133" s="100"/>
      <c r="BT133" s="100"/>
      <c r="BU133" s="100"/>
      <c r="BV133" s="100"/>
      <c r="IR133" s="39">
        <f>AQ133*0</f>
        <v>0</v>
      </c>
      <c r="IS133" s="39">
        <f>AQ133*(1-0)</f>
        <v>0</v>
      </c>
    </row>
    <row r="134" spans="1:253" ht="12.75">
      <c r="A134" s="97" t="s">
        <v>99</v>
      </c>
      <c r="B134" s="98"/>
      <c r="C134" s="97" t="s">
        <v>219</v>
      </c>
      <c r="D134" s="98"/>
      <c r="E134" s="98"/>
      <c r="F134" s="98"/>
      <c r="G134" s="98"/>
      <c r="H134" s="98"/>
      <c r="I134" s="97" t="s">
        <v>396</v>
      </c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  <c r="AD134" s="98"/>
      <c r="AE134" s="98"/>
      <c r="AF134" s="98"/>
      <c r="AG134" s="98"/>
      <c r="AH134" s="98"/>
      <c r="AI134" s="98"/>
      <c r="AJ134" s="97" t="s">
        <v>442</v>
      </c>
      <c r="AK134" s="98"/>
      <c r="AL134" s="99">
        <f>'Stavební rozpočet'!F171</f>
        <v>2</v>
      </c>
      <c r="AM134" s="100"/>
      <c r="AN134" s="100"/>
      <c r="AO134" s="100"/>
      <c r="AP134" s="100"/>
      <c r="AQ134" s="99">
        <f>'Stavební rozpočet'!G171</f>
        <v>0</v>
      </c>
      <c r="AR134" s="100"/>
      <c r="AS134" s="100"/>
      <c r="AT134" s="100"/>
      <c r="AU134" s="100"/>
      <c r="AV134" s="100"/>
      <c r="AW134" s="100"/>
      <c r="AX134" s="100"/>
      <c r="AY134" s="99">
        <f>IR134*AL134+IS134*AL134</f>
        <v>0</v>
      </c>
      <c r="AZ134" s="100"/>
      <c r="BA134" s="100"/>
      <c r="BB134" s="100"/>
      <c r="BC134" s="100"/>
      <c r="BD134" s="100"/>
      <c r="BE134" s="100"/>
      <c r="BF134" s="100"/>
      <c r="BG134" s="99">
        <f>'Stavební rozpočet'!K171</f>
        <v>0.07717</v>
      </c>
      <c r="BH134" s="100"/>
      <c r="BI134" s="100"/>
      <c r="BJ134" s="100"/>
      <c r="BK134" s="100"/>
      <c r="BL134" s="100"/>
      <c r="BM134" s="100"/>
      <c r="BN134" s="100"/>
      <c r="BO134" s="99">
        <f>BG134*AL134</f>
        <v>0.15434</v>
      </c>
      <c r="BP134" s="100"/>
      <c r="BQ134" s="100"/>
      <c r="BR134" s="100"/>
      <c r="BS134" s="100"/>
      <c r="BT134" s="100"/>
      <c r="BU134" s="100"/>
      <c r="BV134" s="100"/>
      <c r="IR134" s="39">
        <f>AQ134*0.0788951841359773</f>
        <v>0</v>
      </c>
      <c r="IS134" s="39">
        <f>AQ134*(1-0.0788951841359773)</f>
        <v>0</v>
      </c>
    </row>
    <row r="135" spans="1:253" ht="12.75">
      <c r="A135" s="97" t="s">
        <v>100</v>
      </c>
      <c r="B135" s="98"/>
      <c r="C135" s="97" t="s">
        <v>220</v>
      </c>
      <c r="D135" s="98"/>
      <c r="E135" s="98"/>
      <c r="F135" s="98"/>
      <c r="G135" s="98"/>
      <c r="H135" s="98"/>
      <c r="I135" s="97" t="s">
        <v>397</v>
      </c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  <c r="AD135" s="98"/>
      <c r="AE135" s="98"/>
      <c r="AF135" s="98"/>
      <c r="AG135" s="98"/>
      <c r="AH135" s="98"/>
      <c r="AI135" s="98"/>
      <c r="AJ135" s="97" t="s">
        <v>448</v>
      </c>
      <c r="AK135" s="98"/>
      <c r="AL135" s="99">
        <f>'Stavební rozpočet'!F172</f>
        <v>2</v>
      </c>
      <c r="AM135" s="100"/>
      <c r="AN135" s="100"/>
      <c r="AO135" s="100"/>
      <c r="AP135" s="100"/>
      <c r="AQ135" s="99">
        <f>'Stavební rozpočet'!G172</f>
        <v>0</v>
      </c>
      <c r="AR135" s="100"/>
      <c r="AS135" s="100"/>
      <c r="AT135" s="100"/>
      <c r="AU135" s="100"/>
      <c r="AV135" s="100"/>
      <c r="AW135" s="100"/>
      <c r="AX135" s="100"/>
      <c r="AY135" s="99">
        <f>IR135*AL135+IS135*AL135</f>
        <v>0</v>
      </c>
      <c r="AZ135" s="100"/>
      <c r="BA135" s="100"/>
      <c r="BB135" s="100"/>
      <c r="BC135" s="100"/>
      <c r="BD135" s="100"/>
      <c r="BE135" s="100"/>
      <c r="BF135" s="100"/>
      <c r="BG135" s="99">
        <f>'Stavební rozpočet'!K172</f>
        <v>0</v>
      </c>
      <c r="BH135" s="100"/>
      <c r="BI135" s="100"/>
      <c r="BJ135" s="100"/>
      <c r="BK135" s="100"/>
      <c r="BL135" s="100"/>
      <c r="BM135" s="100"/>
      <c r="BN135" s="100"/>
      <c r="BO135" s="99">
        <f>BG135*AL135</f>
        <v>0</v>
      </c>
      <c r="BP135" s="100"/>
      <c r="BQ135" s="100"/>
      <c r="BR135" s="100"/>
      <c r="BS135" s="100"/>
      <c r="BT135" s="100"/>
      <c r="BU135" s="100"/>
      <c r="BV135" s="100"/>
      <c r="IR135" s="39">
        <f>AQ135*0</f>
        <v>0</v>
      </c>
      <c r="IS135" s="39">
        <f>AQ135*(1-0)</f>
        <v>0</v>
      </c>
    </row>
    <row r="136" spans="1:74" ht="12.75">
      <c r="A136" s="101" t="s">
        <v>6</v>
      </c>
      <c r="B136" s="102"/>
      <c r="C136" s="101" t="s">
        <v>103</v>
      </c>
      <c r="D136" s="102"/>
      <c r="E136" s="102"/>
      <c r="F136" s="102"/>
      <c r="G136" s="102"/>
      <c r="H136" s="102"/>
      <c r="I136" s="101" t="s">
        <v>398</v>
      </c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  <c r="Z136" s="102"/>
      <c r="AA136" s="102"/>
      <c r="AB136" s="102"/>
      <c r="AC136" s="102"/>
      <c r="AD136" s="102"/>
      <c r="AE136" s="102"/>
      <c r="AF136" s="102"/>
      <c r="AG136" s="102"/>
      <c r="AH136" s="102"/>
      <c r="AI136" s="102"/>
      <c r="AJ136" s="101" t="s">
        <v>6</v>
      </c>
      <c r="AK136" s="102"/>
      <c r="AL136" s="103" t="s">
        <v>6</v>
      </c>
      <c r="AM136" s="104"/>
      <c r="AN136" s="104"/>
      <c r="AO136" s="104"/>
      <c r="AP136" s="104"/>
      <c r="AQ136" s="103" t="s">
        <v>6</v>
      </c>
      <c r="AR136" s="104"/>
      <c r="AS136" s="104"/>
      <c r="AT136" s="104"/>
      <c r="AU136" s="104"/>
      <c r="AV136" s="104"/>
      <c r="AW136" s="104"/>
      <c r="AX136" s="104"/>
      <c r="AY136" s="105">
        <f>SUM(AY137:AY139)</f>
        <v>0</v>
      </c>
      <c r="AZ136" s="104"/>
      <c r="BA136" s="104"/>
      <c r="BB136" s="104"/>
      <c r="BC136" s="104"/>
      <c r="BD136" s="104"/>
      <c r="BE136" s="104"/>
      <c r="BF136" s="104"/>
      <c r="BG136" s="103" t="s">
        <v>6</v>
      </c>
      <c r="BH136" s="104"/>
      <c r="BI136" s="104"/>
      <c r="BJ136" s="104"/>
      <c r="BK136" s="104"/>
      <c r="BL136" s="104"/>
      <c r="BM136" s="104"/>
      <c r="BN136" s="104"/>
      <c r="BO136" s="105">
        <f>SUM(BO137:BO139)</f>
        <v>0.077057</v>
      </c>
      <c r="BP136" s="104"/>
      <c r="BQ136" s="104"/>
      <c r="BR136" s="104"/>
      <c r="BS136" s="104"/>
      <c r="BT136" s="104"/>
      <c r="BU136" s="104"/>
      <c r="BV136" s="104"/>
    </row>
    <row r="137" spans="1:253" ht="12.75">
      <c r="A137" s="97" t="s">
        <v>101</v>
      </c>
      <c r="B137" s="98"/>
      <c r="C137" s="97" t="s">
        <v>221</v>
      </c>
      <c r="D137" s="98"/>
      <c r="E137" s="98"/>
      <c r="F137" s="98"/>
      <c r="G137" s="98"/>
      <c r="H137" s="98"/>
      <c r="I137" s="97" t="s">
        <v>399</v>
      </c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  <c r="AD137" s="98"/>
      <c r="AE137" s="98"/>
      <c r="AF137" s="98"/>
      <c r="AG137" s="98"/>
      <c r="AH137" s="98"/>
      <c r="AI137" s="98"/>
      <c r="AJ137" s="97" t="s">
        <v>443</v>
      </c>
      <c r="AK137" s="98"/>
      <c r="AL137" s="99">
        <f>'Stavební rozpočet'!F174</f>
        <v>15.1</v>
      </c>
      <c r="AM137" s="100"/>
      <c r="AN137" s="100"/>
      <c r="AO137" s="100"/>
      <c r="AP137" s="100"/>
      <c r="AQ137" s="99">
        <f>'Stavební rozpočet'!G174</f>
        <v>0</v>
      </c>
      <c r="AR137" s="100"/>
      <c r="AS137" s="100"/>
      <c r="AT137" s="100"/>
      <c r="AU137" s="100"/>
      <c r="AV137" s="100"/>
      <c r="AW137" s="100"/>
      <c r="AX137" s="100"/>
      <c r="AY137" s="99">
        <f>IR137*AL137+IS137*AL137</f>
        <v>0</v>
      </c>
      <c r="AZ137" s="100"/>
      <c r="BA137" s="100"/>
      <c r="BB137" s="100"/>
      <c r="BC137" s="100"/>
      <c r="BD137" s="100"/>
      <c r="BE137" s="100"/>
      <c r="BF137" s="100"/>
      <c r="BG137" s="99">
        <f>'Stavební rozpočet'!K174</f>
        <v>0.00287</v>
      </c>
      <c r="BH137" s="100"/>
      <c r="BI137" s="100"/>
      <c r="BJ137" s="100"/>
      <c r="BK137" s="100"/>
      <c r="BL137" s="100"/>
      <c r="BM137" s="100"/>
      <c r="BN137" s="100"/>
      <c r="BO137" s="99">
        <f>BG137*AL137</f>
        <v>0.043337</v>
      </c>
      <c r="BP137" s="100"/>
      <c r="BQ137" s="100"/>
      <c r="BR137" s="100"/>
      <c r="BS137" s="100"/>
      <c r="BT137" s="100"/>
      <c r="BU137" s="100"/>
      <c r="BV137" s="100"/>
      <c r="IR137" s="39">
        <f>AQ137*0.338510799054684</f>
        <v>0</v>
      </c>
      <c r="IS137" s="39">
        <f>AQ137*(1-0.338510799054684)</f>
        <v>0</v>
      </c>
    </row>
    <row r="138" spans="1:253" ht="12.75">
      <c r="A138" s="97" t="s">
        <v>102</v>
      </c>
      <c r="B138" s="98"/>
      <c r="C138" s="97" t="s">
        <v>222</v>
      </c>
      <c r="D138" s="98"/>
      <c r="E138" s="98"/>
      <c r="F138" s="98"/>
      <c r="G138" s="98"/>
      <c r="H138" s="98"/>
      <c r="I138" s="97" t="s">
        <v>400</v>
      </c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  <c r="AH138" s="98"/>
      <c r="AI138" s="98"/>
      <c r="AJ138" s="97" t="s">
        <v>443</v>
      </c>
      <c r="AK138" s="98"/>
      <c r="AL138" s="99">
        <f>'Stavební rozpočet'!F175</f>
        <v>5.1</v>
      </c>
      <c r="AM138" s="100"/>
      <c r="AN138" s="100"/>
      <c r="AO138" s="100"/>
      <c r="AP138" s="100"/>
      <c r="AQ138" s="99">
        <f>'Stavební rozpočet'!G175</f>
        <v>0</v>
      </c>
      <c r="AR138" s="100"/>
      <c r="AS138" s="100"/>
      <c r="AT138" s="100"/>
      <c r="AU138" s="100"/>
      <c r="AV138" s="100"/>
      <c r="AW138" s="100"/>
      <c r="AX138" s="100"/>
      <c r="AY138" s="99">
        <f>IR138*AL138+IS138*AL138</f>
        <v>0</v>
      </c>
      <c r="AZ138" s="100"/>
      <c r="BA138" s="100"/>
      <c r="BB138" s="100"/>
      <c r="BC138" s="100"/>
      <c r="BD138" s="100"/>
      <c r="BE138" s="100"/>
      <c r="BF138" s="100"/>
      <c r="BG138" s="99">
        <f>'Stavební rozpočet'!K175</f>
        <v>0.0012</v>
      </c>
      <c r="BH138" s="100"/>
      <c r="BI138" s="100"/>
      <c r="BJ138" s="100"/>
      <c r="BK138" s="100"/>
      <c r="BL138" s="100"/>
      <c r="BM138" s="100"/>
      <c r="BN138" s="100"/>
      <c r="BO138" s="99">
        <f>BG138*AL138</f>
        <v>0.006119999999999999</v>
      </c>
      <c r="BP138" s="100"/>
      <c r="BQ138" s="100"/>
      <c r="BR138" s="100"/>
      <c r="BS138" s="100"/>
      <c r="BT138" s="100"/>
      <c r="BU138" s="100"/>
      <c r="BV138" s="100"/>
      <c r="IR138" s="39">
        <f>AQ138*0.401661764705882</f>
        <v>0</v>
      </c>
      <c r="IS138" s="39">
        <f>AQ138*(1-0.401661764705882)</f>
        <v>0</v>
      </c>
    </row>
    <row r="139" spans="1:253" ht="12.75">
      <c r="A139" s="97" t="s">
        <v>103</v>
      </c>
      <c r="B139" s="98"/>
      <c r="C139" s="97" t="s">
        <v>223</v>
      </c>
      <c r="D139" s="98"/>
      <c r="E139" s="98"/>
      <c r="F139" s="98"/>
      <c r="G139" s="98"/>
      <c r="H139" s="98"/>
      <c r="I139" s="97" t="s">
        <v>401</v>
      </c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  <c r="AD139" s="98"/>
      <c r="AE139" s="98"/>
      <c r="AF139" s="98"/>
      <c r="AG139" s="98"/>
      <c r="AH139" s="98"/>
      <c r="AI139" s="98"/>
      <c r="AJ139" s="97" t="s">
        <v>448</v>
      </c>
      <c r="AK139" s="98"/>
      <c r="AL139" s="99">
        <f>'Stavební rozpočet'!F176</f>
        <v>120</v>
      </c>
      <c r="AM139" s="100"/>
      <c r="AN139" s="100"/>
      <c r="AO139" s="100"/>
      <c r="AP139" s="100"/>
      <c r="AQ139" s="99">
        <f>'Stavební rozpočet'!G176</f>
        <v>0</v>
      </c>
      <c r="AR139" s="100"/>
      <c r="AS139" s="100"/>
      <c r="AT139" s="100"/>
      <c r="AU139" s="100"/>
      <c r="AV139" s="100"/>
      <c r="AW139" s="100"/>
      <c r="AX139" s="100"/>
      <c r="AY139" s="99">
        <f>IR139*AL139+IS139*AL139</f>
        <v>0</v>
      </c>
      <c r="AZ139" s="100"/>
      <c r="BA139" s="100"/>
      <c r="BB139" s="100"/>
      <c r="BC139" s="100"/>
      <c r="BD139" s="100"/>
      <c r="BE139" s="100"/>
      <c r="BF139" s="100"/>
      <c r="BG139" s="99">
        <f>'Stavební rozpočet'!K176</f>
        <v>0.00023</v>
      </c>
      <c r="BH139" s="100"/>
      <c r="BI139" s="100"/>
      <c r="BJ139" s="100"/>
      <c r="BK139" s="100"/>
      <c r="BL139" s="100"/>
      <c r="BM139" s="100"/>
      <c r="BN139" s="100"/>
      <c r="BO139" s="99">
        <f>BG139*AL139</f>
        <v>0.0276</v>
      </c>
      <c r="BP139" s="100"/>
      <c r="BQ139" s="100"/>
      <c r="BR139" s="100"/>
      <c r="BS139" s="100"/>
      <c r="BT139" s="100"/>
      <c r="BU139" s="100"/>
      <c r="BV139" s="100"/>
      <c r="IR139" s="39">
        <f>AQ139*0</f>
        <v>0</v>
      </c>
      <c r="IS139" s="39">
        <f>AQ139*(1-0)</f>
        <v>0</v>
      </c>
    </row>
    <row r="140" spans="1:74" ht="12.75">
      <c r="A140" s="101" t="s">
        <v>6</v>
      </c>
      <c r="B140" s="102"/>
      <c r="C140" s="101" t="s">
        <v>224</v>
      </c>
      <c r="D140" s="102"/>
      <c r="E140" s="102"/>
      <c r="F140" s="102"/>
      <c r="G140" s="102"/>
      <c r="H140" s="102"/>
      <c r="I140" s="101" t="s">
        <v>402</v>
      </c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  <c r="AC140" s="102"/>
      <c r="AD140" s="102"/>
      <c r="AE140" s="102"/>
      <c r="AF140" s="102"/>
      <c r="AG140" s="102"/>
      <c r="AH140" s="102"/>
      <c r="AI140" s="102"/>
      <c r="AJ140" s="101" t="s">
        <v>6</v>
      </c>
      <c r="AK140" s="102"/>
      <c r="AL140" s="103" t="s">
        <v>6</v>
      </c>
      <c r="AM140" s="104"/>
      <c r="AN140" s="104"/>
      <c r="AO140" s="104"/>
      <c r="AP140" s="104"/>
      <c r="AQ140" s="103" t="s">
        <v>6</v>
      </c>
      <c r="AR140" s="104"/>
      <c r="AS140" s="104"/>
      <c r="AT140" s="104"/>
      <c r="AU140" s="104"/>
      <c r="AV140" s="104"/>
      <c r="AW140" s="104"/>
      <c r="AX140" s="104"/>
      <c r="AY140" s="105">
        <f>SUM(AY141:AY141)</f>
        <v>0</v>
      </c>
      <c r="AZ140" s="104"/>
      <c r="BA140" s="104"/>
      <c r="BB140" s="104"/>
      <c r="BC140" s="104"/>
      <c r="BD140" s="104"/>
      <c r="BE140" s="104"/>
      <c r="BF140" s="104"/>
      <c r="BG140" s="103" t="s">
        <v>6</v>
      </c>
      <c r="BH140" s="104"/>
      <c r="BI140" s="104"/>
      <c r="BJ140" s="104"/>
      <c r="BK140" s="104"/>
      <c r="BL140" s="104"/>
      <c r="BM140" s="104"/>
      <c r="BN140" s="104"/>
      <c r="BO140" s="105">
        <f>SUM(BO141:BO141)</f>
        <v>0</v>
      </c>
      <c r="BP140" s="104"/>
      <c r="BQ140" s="104"/>
      <c r="BR140" s="104"/>
      <c r="BS140" s="104"/>
      <c r="BT140" s="104"/>
      <c r="BU140" s="104"/>
      <c r="BV140" s="104"/>
    </row>
    <row r="141" spans="1:253" ht="12.75">
      <c r="A141" s="97" t="s">
        <v>104</v>
      </c>
      <c r="B141" s="98"/>
      <c r="C141" s="97" t="s">
        <v>225</v>
      </c>
      <c r="D141" s="98"/>
      <c r="E141" s="98"/>
      <c r="F141" s="98"/>
      <c r="G141" s="98"/>
      <c r="H141" s="98"/>
      <c r="I141" s="97" t="s">
        <v>403</v>
      </c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  <c r="AD141" s="98"/>
      <c r="AE141" s="98"/>
      <c r="AF141" s="98"/>
      <c r="AG141" s="98"/>
      <c r="AH141" s="98"/>
      <c r="AI141" s="98"/>
      <c r="AJ141" s="97" t="s">
        <v>447</v>
      </c>
      <c r="AK141" s="98"/>
      <c r="AL141" s="99">
        <f>'Stavební rozpočet'!F178</f>
        <v>8.8661</v>
      </c>
      <c r="AM141" s="100"/>
      <c r="AN141" s="100"/>
      <c r="AO141" s="100"/>
      <c r="AP141" s="100"/>
      <c r="AQ141" s="99">
        <f>'Stavební rozpočet'!G178</f>
        <v>0</v>
      </c>
      <c r="AR141" s="100"/>
      <c r="AS141" s="100"/>
      <c r="AT141" s="100"/>
      <c r="AU141" s="100"/>
      <c r="AV141" s="100"/>
      <c r="AW141" s="100"/>
      <c r="AX141" s="100"/>
      <c r="AY141" s="99">
        <f>IR141*AL141+IS141*AL141</f>
        <v>0</v>
      </c>
      <c r="AZ141" s="100"/>
      <c r="BA141" s="100"/>
      <c r="BB141" s="100"/>
      <c r="BC141" s="100"/>
      <c r="BD141" s="100"/>
      <c r="BE141" s="100"/>
      <c r="BF141" s="100"/>
      <c r="BG141" s="99">
        <f>'Stavební rozpočet'!K178</f>
        <v>0</v>
      </c>
      <c r="BH141" s="100"/>
      <c r="BI141" s="100"/>
      <c r="BJ141" s="100"/>
      <c r="BK141" s="100"/>
      <c r="BL141" s="100"/>
      <c r="BM141" s="100"/>
      <c r="BN141" s="100"/>
      <c r="BO141" s="99">
        <f>BG141*AL141</f>
        <v>0</v>
      </c>
      <c r="BP141" s="100"/>
      <c r="BQ141" s="100"/>
      <c r="BR141" s="100"/>
      <c r="BS141" s="100"/>
      <c r="BT141" s="100"/>
      <c r="BU141" s="100"/>
      <c r="BV141" s="100"/>
      <c r="IR141" s="39">
        <f>AQ141*0</f>
        <v>0</v>
      </c>
      <c r="IS141" s="39">
        <f>AQ141*(1-0)</f>
        <v>0</v>
      </c>
    </row>
    <row r="142" spans="1:74" ht="12.75">
      <c r="A142" s="101" t="s">
        <v>6</v>
      </c>
      <c r="B142" s="102"/>
      <c r="C142" s="101" t="s">
        <v>226</v>
      </c>
      <c r="D142" s="102"/>
      <c r="E142" s="102"/>
      <c r="F142" s="102"/>
      <c r="G142" s="102"/>
      <c r="H142" s="102"/>
      <c r="I142" s="101" t="s">
        <v>404</v>
      </c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  <c r="AA142" s="102"/>
      <c r="AB142" s="102"/>
      <c r="AC142" s="102"/>
      <c r="AD142" s="102"/>
      <c r="AE142" s="102"/>
      <c r="AF142" s="102"/>
      <c r="AG142" s="102"/>
      <c r="AH142" s="102"/>
      <c r="AI142" s="102"/>
      <c r="AJ142" s="101" t="s">
        <v>6</v>
      </c>
      <c r="AK142" s="102"/>
      <c r="AL142" s="103" t="s">
        <v>6</v>
      </c>
      <c r="AM142" s="104"/>
      <c r="AN142" s="104"/>
      <c r="AO142" s="104"/>
      <c r="AP142" s="104"/>
      <c r="AQ142" s="103" t="s">
        <v>6</v>
      </c>
      <c r="AR142" s="104"/>
      <c r="AS142" s="104"/>
      <c r="AT142" s="104"/>
      <c r="AU142" s="104"/>
      <c r="AV142" s="104"/>
      <c r="AW142" s="104"/>
      <c r="AX142" s="104"/>
      <c r="AY142" s="105">
        <f>SUM(AY143:AY143)</f>
        <v>0</v>
      </c>
      <c r="AZ142" s="104"/>
      <c r="BA142" s="104"/>
      <c r="BB142" s="104"/>
      <c r="BC142" s="104"/>
      <c r="BD142" s="104"/>
      <c r="BE142" s="104"/>
      <c r="BF142" s="104"/>
      <c r="BG142" s="103" t="s">
        <v>6</v>
      </c>
      <c r="BH142" s="104"/>
      <c r="BI142" s="104"/>
      <c r="BJ142" s="104"/>
      <c r="BK142" s="104"/>
      <c r="BL142" s="104"/>
      <c r="BM142" s="104"/>
      <c r="BN142" s="104"/>
      <c r="BO142" s="105">
        <f>SUM(BO143:BO143)</f>
        <v>0</v>
      </c>
      <c r="BP142" s="104"/>
      <c r="BQ142" s="104"/>
      <c r="BR142" s="104"/>
      <c r="BS142" s="104"/>
      <c r="BT142" s="104"/>
      <c r="BU142" s="104"/>
      <c r="BV142" s="104"/>
    </row>
    <row r="143" spans="1:253" ht="12.75">
      <c r="A143" s="97" t="s">
        <v>105</v>
      </c>
      <c r="B143" s="98"/>
      <c r="C143" s="97" t="s">
        <v>227</v>
      </c>
      <c r="D143" s="98"/>
      <c r="E143" s="98"/>
      <c r="F143" s="98"/>
      <c r="G143" s="98"/>
      <c r="H143" s="98"/>
      <c r="I143" s="97" t="s">
        <v>405</v>
      </c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  <c r="AD143" s="98"/>
      <c r="AE143" s="98"/>
      <c r="AF143" s="98"/>
      <c r="AG143" s="98"/>
      <c r="AH143" s="98"/>
      <c r="AI143" s="98"/>
      <c r="AJ143" s="97" t="s">
        <v>447</v>
      </c>
      <c r="AK143" s="98"/>
      <c r="AL143" s="99">
        <f>'Stavební rozpočet'!F180</f>
        <v>585.64</v>
      </c>
      <c r="AM143" s="100"/>
      <c r="AN143" s="100"/>
      <c r="AO143" s="100"/>
      <c r="AP143" s="100"/>
      <c r="AQ143" s="99">
        <f>'Stavební rozpočet'!G180</f>
        <v>0</v>
      </c>
      <c r="AR143" s="100"/>
      <c r="AS143" s="100"/>
      <c r="AT143" s="100"/>
      <c r="AU143" s="100"/>
      <c r="AV143" s="100"/>
      <c r="AW143" s="100"/>
      <c r="AX143" s="100"/>
      <c r="AY143" s="99">
        <f>IR143*AL143+IS143*AL143</f>
        <v>0</v>
      </c>
      <c r="AZ143" s="100"/>
      <c r="BA143" s="100"/>
      <c r="BB143" s="100"/>
      <c r="BC143" s="100"/>
      <c r="BD143" s="100"/>
      <c r="BE143" s="100"/>
      <c r="BF143" s="100"/>
      <c r="BG143" s="99">
        <f>'Stavební rozpočet'!K180</f>
        <v>0</v>
      </c>
      <c r="BH143" s="100"/>
      <c r="BI143" s="100"/>
      <c r="BJ143" s="100"/>
      <c r="BK143" s="100"/>
      <c r="BL143" s="100"/>
      <c r="BM143" s="100"/>
      <c r="BN143" s="100"/>
      <c r="BO143" s="99">
        <f>BG143*AL143</f>
        <v>0</v>
      </c>
      <c r="BP143" s="100"/>
      <c r="BQ143" s="100"/>
      <c r="BR143" s="100"/>
      <c r="BS143" s="100"/>
      <c r="BT143" s="100"/>
      <c r="BU143" s="100"/>
      <c r="BV143" s="100"/>
      <c r="IR143" s="39">
        <f>AQ143*0</f>
        <v>0</v>
      </c>
      <c r="IS143" s="39">
        <f>AQ143*(1-0)</f>
        <v>0</v>
      </c>
    </row>
    <row r="144" spans="1:74" ht="12.75">
      <c r="A144" s="101" t="s">
        <v>6</v>
      </c>
      <c r="B144" s="102"/>
      <c r="C144" s="101" t="s">
        <v>228</v>
      </c>
      <c r="D144" s="102"/>
      <c r="E144" s="102"/>
      <c r="F144" s="102"/>
      <c r="G144" s="102"/>
      <c r="H144" s="102"/>
      <c r="I144" s="101" t="s">
        <v>406</v>
      </c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  <c r="AC144" s="102"/>
      <c r="AD144" s="102"/>
      <c r="AE144" s="102"/>
      <c r="AF144" s="102"/>
      <c r="AG144" s="102"/>
      <c r="AH144" s="102"/>
      <c r="AI144" s="102"/>
      <c r="AJ144" s="101" t="s">
        <v>6</v>
      </c>
      <c r="AK144" s="102"/>
      <c r="AL144" s="103" t="s">
        <v>6</v>
      </c>
      <c r="AM144" s="104"/>
      <c r="AN144" s="104"/>
      <c r="AO144" s="104"/>
      <c r="AP144" s="104"/>
      <c r="AQ144" s="103" t="s">
        <v>6</v>
      </c>
      <c r="AR144" s="104"/>
      <c r="AS144" s="104"/>
      <c r="AT144" s="104"/>
      <c r="AU144" s="104"/>
      <c r="AV144" s="104"/>
      <c r="AW144" s="104"/>
      <c r="AX144" s="104"/>
      <c r="AY144" s="105">
        <f>SUM(AY145:AY145)</f>
        <v>0</v>
      </c>
      <c r="AZ144" s="104"/>
      <c r="BA144" s="104"/>
      <c r="BB144" s="104"/>
      <c r="BC144" s="104"/>
      <c r="BD144" s="104"/>
      <c r="BE144" s="104"/>
      <c r="BF144" s="104"/>
      <c r="BG144" s="103" t="s">
        <v>6</v>
      </c>
      <c r="BH144" s="104"/>
      <c r="BI144" s="104"/>
      <c r="BJ144" s="104"/>
      <c r="BK144" s="104"/>
      <c r="BL144" s="104"/>
      <c r="BM144" s="104"/>
      <c r="BN144" s="104"/>
      <c r="BO144" s="105">
        <f>SUM(BO145:BO145)</f>
        <v>0</v>
      </c>
      <c r="BP144" s="104"/>
      <c r="BQ144" s="104"/>
      <c r="BR144" s="104"/>
      <c r="BS144" s="104"/>
      <c r="BT144" s="104"/>
      <c r="BU144" s="104"/>
      <c r="BV144" s="104"/>
    </row>
    <row r="145" spans="1:253" ht="12.75">
      <c r="A145" s="97" t="s">
        <v>106</v>
      </c>
      <c r="B145" s="98"/>
      <c r="C145" s="97" t="s">
        <v>229</v>
      </c>
      <c r="D145" s="98"/>
      <c r="E145" s="98"/>
      <c r="F145" s="98"/>
      <c r="G145" s="98"/>
      <c r="H145" s="98"/>
      <c r="I145" s="97" t="s">
        <v>407</v>
      </c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  <c r="AD145" s="98"/>
      <c r="AE145" s="98"/>
      <c r="AF145" s="98"/>
      <c r="AG145" s="98"/>
      <c r="AH145" s="98"/>
      <c r="AI145" s="98"/>
      <c r="AJ145" s="97" t="s">
        <v>444</v>
      </c>
      <c r="AK145" s="98"/>
      <c r="AL145" s="99">
        <f>'Stavební rozpočet'!F182</f>
        <v>100</v>
      </c>
      <c r="AM145" s="100"/>
      <c r="AN145" s="100"/>
      <c r="AO145" s="100"/>
      <c r="AP145" s="100"/>
      <c r="AQ145" s="99">
        <f>'Stavební rozpočet'!G182</f>
        <v>0</v>
      </c>
      <c r="AR145" s="100"/>
      <c r="AS145" s="100"/>
      <c r="AT145" s="100"/>
      <c r="AU145" s="100"/>
      <c r="AV145" s="100"/>
      <c r="AW145" s="100"/>
      <c r="AX145" s="100"/>
      <c r="AY145" s="99">
        <f>IR145*AL145+IS145*AL145</f>
        <v>0</v>
      </c>
      <c r="AZ145" s="100"/>
      <c r="BA145" s="100"/>
      <c r="BB145" s="100"/>
      <c r="BC145" s="100"/>
      <c r="BD145" s="100"/>
      <c r="BE145" s="100"/>
      <c r="BF145" s="100"/>
      <c r="BG145" s="99">
        <f>'Stavební rozpočet'!K182</f>
        <v>0</v>
      </c>
      <c r="BH145" s="100"/>
      <c r="BI145" s="100"/>
      <c r="BJ145" s="100"/>
      <c r="BK145" s="100"/>
      <c r="BL145" s="100"/>
      <c r="BM145" s="100"/>
      <c r="BN145" s="100"/>
      <c r="BO145" s="99">
        <f>BG145*AL145</f>
        <v>0</v>
      </c>
      <c r="BP145" s="100"/>
      <c r="BQ145" s="100"/>
      <c r="BR145" s="100"/>
      <c r="BS145" s="100"/>
      <c r="BT145" s="100"/>
      <c r="BU145" s="100"/>
      <c r="BV145" s="100"/>
      <c r="IR145" s="39">
        <f>AQ145*0</f>
        <v>0</v>
      </c>
      <c r="IS145" s="39">
        <f>AQ145*(1-0)</f>
        <v>0</v>
      </c>
    </row>
    <row r="146" spans="1:74" ht="12.75">
      <c r="A146" s="101" t="s">
        <v>6</v>
      </c>
      <c r="B146" s="102"/>
      <c r="C146" s="101" t="s">
        <v>230</v>
      </c>
      <c r="D146" s="102"/>
      <c r="E146" s="102"/>
      <c r="F146" s="102"/>
      <c r="G146" s="102"/>
      <c r="H146" s="102"/>
      <c r="I146" s="101" t="s">
        <v>409</v>
      </c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102"/>
      <c r="AA146" s="102"/>
      <c r="AB146" s="102"/>
      <c r="AC146" s="102"/>
      <c r="AD146" s="102"/>
      <c r="AE146" s="102"/>
      <c r="AF146" s="102"/>
      <c r="AG146" s="102"/>
      <c r="AH146" s="102"/>
      <c r="AI146" s="102"/>
      <c r="AJ146" s="101" t="s">
        <v>6</v>
      </c>
      <c r="AK146" s="102"/>
      <c r="AL146" s="103" t="s">
        <v>6</v>
      </c>
      <c r="AM146" s="104"/>
      <c r="AN146" s="104"/>
      <c r="AO146" s="104"/>
      <c r="AP146" s="104"/>
      <c r="AQ146" s="103" t="s">
        <v>6</v>
      </c>
      <c r="AR146" s="104"/>
      <c r="AS146" s="104"/>
      <c r="AT146" s="104"/>
      <c r="AU146" s="104"/>
      <c r="AV146" s="104"/>
      <c r="AW146" s="104"/>
      <c r="AX146" s="104"/>
      <c r="AY146" s="105">
        <f>SUM(AY147:AY147)</f>
        <v>0</v>
      </c>
      <c r="AZ146" s="104"/>
      <c r="BA146" s="104"/>
      <c r="BB146" s="104"/>
      <c r="BC146" s="104"/>
      <c r="BD146" s="104"/>
      <c r="BE146" s="104"/>
      <c r="BF146" s="104"/>
      <c r="BG146" s="103" t="s">
        <v>6</v>
      </c>
      <c r="BH146" s="104"/>
      <c r="BI146" s="104"/>
      <c r="BJ146" s="104"/>
      <c r="BK146" s="104"/>
      <c r="BL146" s="104"/>
      <c r="BM146" s="104"/>
      <c r="BN146" s="104"/>
      <c r="BO146" s="105">
        <f>SUM(BO147:BO147)</f>
        <v>0</v>
      </c>
      <c r="BP146" s="104"/>
      <c r="BQ146" s="104"/>
      <c r="BR146" s="104"/>
      <c r="BS146" s="104"/>
      <c r="BT146" s="104"/>
      <c r="BU146" s="104"/>
      <c r="BV146" s="104"/>
    </row>
    <row r="147" spans="1:253" ht="12.75">
      <c r="A147" s="97" t="s">
        <v>107</v>
      </c>
      <c r="B147" s="98"/>
      <c r="C147" s="97" t="s">
        <v>231</v>
      </c>
      <c r="D147" s="98"/>
      <c r="E147" s="98"/>
      <c r="F147" s="98"/>
      <c r="G147" s="98"/>
      <c r="H147" s="98"/>
      <c r="I147" s="97" t="s">
        <v>410</v>
      </c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98"/>
      <c r="AC147" s="98"/>
      <c r="AD147" s="98"/>
      <c r="AE147" s="98"/>
      <c r="AF147" s="98"/>
      <c r="AG147" s="98"/>
      <c r="AH147" s="98"/>
      <c r="AI147" s="98"/>
      <c r="AJ147" s="97" t="s">
        <v>443</v>
      </c>
      <c r="AK147" s="98"/>
      <c r="AL147" s="99">
        <f>'Stavební rozpočet'!F185</f>
        <v>160</v>
      </c>
      <c r="AM147" s="100"/>
      <c r="AN147" s="100"/>
      <c r="AO147" s="100"/>
      <c r="AP147" s="100"/>
      <c r="AQ147" s="99">
        <f>'Stavební rozpočet'!G185</f>
        <v>0</v>
      </c>
      <c r="AR147" s="100"/>
      <c r="AS147" s="100"/>
      <c r="AT147" s="100"/>
      <c r="AU147" s="100"/>
      <c r="AV147" s="100"/>
      <c r="AW147" s="100"/>
      <c r="AX147" s="100"/>
      <c r="AY147" s="99">
        <f>IR147*AL147+IS147*AL147</f>
        <v>0</v>
      </c>
      <c r="AZ147" s="100"/>
      <c r="BA147" s="100"/>
      <c r="BB147" s="100"/>
      <c r="BC147" s="100"/>
      <c r="BD147" s="100"/>
      <c r="BE147" s="100"/>
      <c r="BF147" s="100"/>
      <c r="BG147" s="99">
        <f>'Stavební rozpočet'!K185</f>
        <v>0</v>
      </c>
      <c r="BH147" s="100"/>
      <c r="BI147" s="100"/>
      <c r="BJ147" s="100"/>
      <c r="BK147" s="100"/>
      <c r="BL147" s="100"/>
      <c r="BM147" s="100"/>
      <c r="BN147" s="100"/>
      <c r="BO147" s="99">
        <f>BG147*AL147</f>
        <v>0</v>
      </c>
      <c r="BP147" s="100"/>
      <c r="BQ147" s="100"/>
      <c r="BR147" s="100"/>
      <c r="BS147" s="100"/>
      <c r="BT147" s="100"/>
      <c r="BU147" s="100"/>
      <c r="BV147" s="100"/>
      <c r="IR147" s="39">
        <f>AQ147*0</f>
        <v>0</v>
      </c>
      <c r="IS147" s="39">
        <f>AQ147*(1-0)</f>
        <v>0</v>
      </c>
    </row>
    <row r="148" spans="1:74" ht="12.75">
      <c r="A148" s="101" t="s">
        <v>6</v>
      </c>
      <c r="B148" s="102"/>
      <c r="C148" s="101" t="s">
        <v>232</v>
      </c>
      <c r="D148" s="102"/>
      <c r="E148" s="102"/>
      <c r="F148" s="102"/>
      <c r="G148" s="102"/>
      <c r="H148" s="102"/>
      <c r="I148" s="101" t="s">
        <v>412</v>
      </c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2"/>
      <c r="AB148" s="102"/>
      <c r="AC148" s="102"/>
      <c r="AD148" s="102"/>
      <c r="AE148" s="102"/>
      <c r="AF148" s="102"/>
      <c r="AG148" s="102"/>
      <c r="AH148" s="102"/>
      <c r="AI148" s="102"/>
      <c r="AJ148" s="101" t="s">
        <v>6</v>
      </c>
      <c r="AK148" s="102"/>
      <c r="AL148" s="103" t="s">
        <v>6</v>
      </c>
      <c r="AM148" s="104"/>
      <c r="AN148" s="104"/>
      <c r="AO148" s="104"/>
      <c r="AP148" s="104"/>
      <c r="AQ148" s="103" t="s">
        <v>6</v>
      </c>
      <c r="AR148" s="104"/>
      <c r="AS148" s="104"/>
      <c r="AT148" s="104"/>
      <c r="AU148" s="104"/>
      <c r="AV148" s="104"/>
      <c r="AW148" s="104"/>
      <c r="AX148" s="104"/>
      <c r="AY148" s="105">
        <f>SUM(AY149:AY152)</f>
        <v>0</v>
      </c>
      <c r="AZ148" s="104"/>
      <c r="BA148" s="104"/>
      <c r="BB148" s="104"/>
      <c r="BC148" s="104"/>
      <c r="BD148" s="104"/>
      <c r="BE148" s="104"/>
      <c r="BF148" s="104"/>
      <c r="BG148" s="103" t="s">
        <v>6</v>
      </c>
      <c r="BH148" s="104"/>
      <c r="BI148" s="104"/>
      <c r="BJ148" s="104"/>
      <c r="BK148" s="104"/>
      <c r="BL148" s="104"/>
      <c r="BM148" s="104"/>
      <c r="BN148" s="104"/>
      <c r="BO148" s="105">
        <f>SUM(BO149:BO152)</f>
        <v>69.36485</v>
      </c>
      <c r="BP148" s="104"/>
      <c r="BQ148" s="104"/>
      <c r="BR148" s="104"/>
      <c r="BS148" s="104"/>
      <c r="BT148" s="104"/>
      <c r="BU148" s="104"/>
      <c r="BV148" s="104"/>
    </row>
    <row r="149" spans="1:253" ht="12.75">
      <c r="A149" s="106" t="s">
        <v>108</v>
      </c>
      <c r="B149" s="98"/>
      <c r="C149" s="106" t="s">
        <v>233</v>
      </c>
      <c r="D149" s="98"/>
      <c r="E149" s="98"/>
      <c r="F149" s="98"/>
      <c r="G149" s="98"/>
      <c r="H149" s="98"/>
      <c r="I149" s="106" t="s">
        <v>413</v>
      </c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  <c r="AD149" s="98"/>
      <c r="AE149" s="98"/>
      <c r="AF149" s="98"/>
      <c r="AG149" s="98"/>
      <c r="AH149" s="98"/>
      <c r="AI149" s="98"/>
      <c r="AJ149" s="106" t="s">
        <v>443</v>
      </c>
      <c r="AK149" s="98"/>
      <c r="AL149" s="107">
        <f>'Stavební rozpočet'!F188</f>
        <v>353</v>
      </c>
      <c r="AM149" s="100"/>
      <c r="AN149" s="100"/>
      <c r="AO149" s="100"/>
      <c r="AP149" s="100"/>
      <c r="AQ149" s="107">
        <f>'Stavební rozpočet'!G188</f>
        <v>0</v>
      </c>
      <c r="AR149" s="100"/>
      <c r="AS149" s="100"/>
      <c r="AT149" s="100"/>
      <c r="AU149" s="100"/>
      <c r="AV149" s="100"/>
      <c r="AW149" s="100"/>
      <c r="AX149" s="100"/>
      <c r="AY149" s="107">
        <f>IR149*AL149+IS149*AL149</f>
        <v>0</v>
      </c>
      <c r="AZ149" s="100"/>
      <c r="BA149" s="100"/>
      <c r="BB149" s="100"/>
      <c r="BC149" s="100"/>
      <c r="BD149" s="100"/>
      <c r="BE149" s="100"/>
      <c r="BF149" s="100"/>
      <c r="BG149" s="107">
        <f>'Stavební rozpočet'!K188</f>
        <v>0.00031</v>
      </c>
      <c r="BH149" s="100"/>
      <c r="BI149" s="100"/>
      <c r="BJ149" s="100"/>
      <c r="BK149" s="100"/>
      <c r="BL149" s="100"/>
      <c r="BM149" s="100"/>
      <c r="BN149" s="100"/>
      <c r="BO149" s="107">
        <f>BG149*AL149</f>
        <v>0.10943</v>
      </c>
      <c r="BP149" s="100"/>
      <c r="BQ149" s="100"/>
      <c r="BR149" s="100"/>
      <c r="BS149" s="100"/>
      <c r="BT149" s="100"/>
      <c r="BU149" s="100"/>
      <c r="BV149" s="100"/>
      <c r="IR149" s="39">
        <f>AQ149*0.342384105960265</f>
        <v>0</v>
      </c>
      <c r="IS149" s="39">
        <f>AQ149*(1-0.342384105960265)</f>
        <v>0</v>
      </c>
    </row>
    <row r="150" spans="1:253" ht="12.75">
      <c r="A150" s="97" t="s">
        <v>109</v>
      </c>
      <c r="B150" s="98"/>
      <c r="C150" s="97" t="s">
        <v>234</v>
      </c>
      <c r="D150" s="98"/>
      <c r="E150" s="98"/>
      <c r="F150" s="98"/>
      <c r="G150" s="98"/>
      <c r="H150" s="98"/>
      <c r="I150" s="97" t="s">
        <v>415</v>
      </c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8"/>
      <c r="AC150" s="98"/>
      <c r="AD150" s="98"/>
      <c r="AE150" s="98"/>
      <c r="AF150" s="98"/>
      <c r="AG150" s="98"/>
      <c r="AH150" s="98"/>
      <c r="AI150" s="98"/>
      <c r="AJ150" s="97" t="s">
        <v>446</v>
      </c>
      <c r="AK150" s="98"/>
      <c r="AL150" s="99">
        <f>'Stavební rozpočet'!F190</f>
        <v>587.74</v>
      </c>
      <c r="AM150" s="100"/>
      <c r="AN150" s="100"/>
      <c r="AO150" s="100"/>
      <c r="AP150" s="100"/>
      <c r="AQ150" s="99">
        <f>'Stavební rozpočet'!G190</f>
        <v>0</v>
      </c>
      <c r="AR150" s="100"/>
      <c r="AS150" s="100"/>
      <c r="AT150" s="100"/>
      <c r="AU150" s="100"/>
      <c r="AV150" s="100"/>
      <c r="AW150" s="100"/>
      <c r="AX150" s="100"/>
      <c r="AY150" s="99">
        <f>IR150*AL150+IS150*AL150</f>
        <v>0</v>
      </c>
      <c r="AZ150" s="100"/>
      <c r="BA150" s="100"/>
      <c r="BB150" s="100"/>
      <c r="BC150" s="100"/>
      <c r="BD150" s="100"/>
      <c r="BE150" s="100"/>
      <c r="BF150" s="100"/>
      <c r="BG150" s="99">
        <f>'Stavební rozpočet'!K190</f>
        <v>0</v>
      </c>
      <c r="BH150" s="100"/>
      <c r="BI150" s="100"/>
      <c r="BJ150" s="100"/>
      <c r="BK150" s="100"/>
      <c r="BL150" s="100"/>
      <c r="BM150" s="100"/>
      <c r="BN150" s="100"/>
      <c r="BO150" s="99">
        <f>BG150*AL150</f>
        <v>0</v>
      </c>
      <c r="BP150" s="100"/>
      <c r="BQ150" s="100"/>
      <c r="BR150" s="100"/>
      <c r="BS150" s="100"/>
      <c r="BT150" s="100"/>
      <c r="BU150" s="100"/>
      <c r="BV150" s="100"/>
      <c r="IR150" s="39">
        <f>AQ150*0</f>
        <v>0</v>
      </c>
      <c r="IS150" s="39">
        <f>AQ150*(1-0)</f>
        <v>0</v>
      </c>
    </row>
    <row r="151" spans="1:253" ht="12.75">
      <c r="A151" s="106" t="s">
        <v>110</v>
      </c>
      <c r="B151" s="98"/>
      <c r="C151" s="106" t="s">
        <v>235</v>
      </c>
      <c r="D151" s="98"/>
      <c r="E151" s="98"/>
      <c r="F151" s="98"/>
      <c r="G151" s="98"/>
      <c r="H151" s="98"/>
      <c r="I151" s="106" t="s">
        <v>417</v>
      </c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8"/>
      <c r="AD151" s="98"/>
      <c r="AE151" s="98"/>
      <c r="AF151" s="98"/>
      <c r="AG151" s="98"/>
      <c r="AH151" s="98"/>
      <c r="AI151" s="98"/>
      <c r="AJ151" s="106" t="s">
        <v>443</v>
      </c>
      <c r="AK151" s="98"/>
      <c r="AL151" s="107">
        <f>'Stavební rozpočet'!F192</f>
        <v>195</v>
      </c>
      <c r="AM151" s="100"/>
      <c r="AN151" s="100"/>
      <c r="AO151" s="100"/>
      <c r="AP151" s="100"/>
      <c r="AQ151" s="107">
        <f>'Stavební rozpočet'!G192</f>
        <v>0</v>
      </c>
      <c r="AR151" s="100"/>
      <c r="AS151" s="100"/>
      <c r="AT151" s="100"/>
      <c r="AU151" s="100"/>
      <c r="AV151" s="100"/>
      <c r="AW151" s="100"/>
      <c r="AX151" s="100"/>
      <c r="AY151" s="107">
        <f>IR151*AL151+IS151*AL151</f>
        <v>0</v>
      </c>
      <c r="AZ151" s="100"/>
      <c r="BA151" s="100"/>
      <c r="BB151" s="100"/>
      <c r="BC151" s="100"/>
      <c r="BD151" s="100"/>
      <c r="BE151" s="100"/>
      <c r="BF151" s="100"/>
      <c r="BG151" s="107">
        <f>'Stavební rozpočet'!K192</f>
        <v>0.26486</v>
      </c>
      <c r="BH151" s="100"/>
      <c r="BI151" s="100"/>
      <c r="BJ151" s="100"/>
      <c r="BK151" s="100"/>
      <c r="BL151" s="100"/>
      <c r="BM151" s="100"/>
      <c r="BN151" s="100"/>
      <c r="BO151" s="107">
        <f>BG151*AL151</f>
        <v>51.6477</v>
      </c>
      <c r="BP151" s="100"/>
      <c r="BQ151" s="100"/>
      <c r="BR151" s="100"/>
      <c r="BS151" s="100"/>
      <c r="BT151" s="100"/>
      <c r="BU151" s="100"/>
      <c r="BV151" s="100"/>
      <c r="IR151" s="39">
        <f>AQ151*0.683507462686567</f>
        <v>0</v>
      </c>
      <c r="IS151" s="39">
        <f>AQ151*(1-0.683507462686567)</f>
        <v>0</v>
      </c>
    </row>
    <row r="152" spans="1:253" ht="12.75">
      <c r="A152" s="97" t="s">
        <v>111</v>
      </c>
      <c r="B152" s="98"/>
      <c r="C152" s="97" t="s">
        <v>236</v>
      </c>
      <c r="D152" s="98"/>
      <c r="E152" s="98"/>
      <c r="F152" s="98"/>
      <c r="G152" s="98"/>
      <c r="H152" s="98"/>
      <c r="I152" s="97" t="s">
        <v>419</v>
      </c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8"/>
      <c r="AC152" s="98"/>
      <c r="AD152" s="98"/>
      <c r="AE152" s="98"/>
      <c r="AF152" s="98"/>
      <c r="AG152" s="98"/>
      <c r="AH152" s="98"/>
      <c r="AI152" s="98"/>
      <c r="AJ152" s="97" t="s">
        <v>443</v>
      </c>
      <c r="AK152" s="98"/>
      <c r="AL152" s="99">
        <f>'Stavební rozpočet'!F194</f>
        <v>52</v>
      </c>
      <c r="AM152" s="100"/>
      <c r="AN152" s="100"/>
      <c r="AO152" s="100"/>
      <c r="AP152" s="100"/>
      <c r="AQ152" s="99">
        <f>'Stavební rozpočet'!G194</f>
        <v>0</v>
      </c>
      <c r="AR152" s="100"/>
      <c r="AS152" s="100"/>
      <c r="AT152" s="100"/>
      <c r="AU152" s="100"/>
      <c r="AV152" s="100"/>
      <c r="AW152" s="100"/>
      <c r="AX152" s="100"/>
      <c r="AY152" s="99">
        <f>IR152*AL152+IS152*AL152</f>
        <v>0</v>
      </c>
      <c r="AZ152" s="100"/>
      <c r="BA152" s="100"/>
      <c r="BB152" s="100"/>
      <c r="BC152" s="100"/>
      <c r="BD152" s="100"/>
      <c r="BE152" s="100"/>
      <c r="BF152" s="100"/>
      <c r="BG152" s="99">
        <f>'Stavební rozpočet'!K194</f>
        <v>0.33861</v>
      </c>
      <c r="BH152" s="100"/>
      <c r="BI152" s="100"/>
      <c r="BJ152" s="100"/>
      <c r="BK152" s="100"/>
      <c r="BL152" s="100"/>
      <c r="BM152" s="100"/>
      <c r="BN152" s="100"/>
      <c r="BO152" s="99">
        <f>BG152*AL152</f>
        <v>17.60772</v>
      </c>
      <c r="BP152" s="100"/>
      <c r="BQ152" s="100"/>
      <c r="BR152" s="100"/>
      <c r="BS152" s="100"/>
      <c r="BT152" s="100"/>
      <c r="BU152" s="100"/>
      <c r="BV152" s="100"/>
      <c r="IR152" s="39">
        <f>AQ152*0.468112745098039</f>
        <v>0</v>
      </c>
      <c r="IS152" s="39">
        <f>AQ152*(1-0.468112745098039)</f>
        <v>0</v>
      </c>
    </row>
    <row r="153" spans="1:74" ht="12.75">
      <c r="A153" s="101" t="s">
        <v>6</v>
      </c>
      <c r="B153" s="102"/>
      <c r="C153" s="101" t="s">
        <v>237</v>
      </c>
      <c r="D153" s="102"/>
      <c r="E153" s="102"/>
      <c r="F153" s="102"/>
      <c r="G153" s="102"/>
      <c r="H153" s="102"/>
      <c r="I153" s="101" t="s">
        <v>421</v>
      </c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  <c r="AD153" s="102"/>
      <c r="AE153" s="102"/>
      <c r="AF153" s="102"/>
      <c r="AG153" s="102"/>
      <c r="AH153" s="102"/>
      <c r="AI153" s="102"/>
      <c r="AJ153" s="101" t="s">
        <v>6</v>
      </c>
      <c r="AK153" s="102"/>
      <c r="AL153" s="103" t="s">
        <v>6</v>
      </c>
      <c r="AM153" s="104"/>
      <c r="AN153" s="104"/>
      <c r="AO153" s="104"/>
      <c r="AP153" s="104"/>
      <c r="AQ153" s="103" t="s">
        <v>6</v>
      </c>
      <c r="AR153" s="104"/>
      <c r="AS153" s="104"/>
      <c r="AT153" s="104"/>
      <c r="AU153" s="104"/>
      <c r="AV153" s="104"/>
      <c r="AW153" s="104"/>
      <c r="AX153" s="104"/>
      <c r="AY153" s="105">
        <f>SUM(AY154:AY158)</f>
        <v>0</v>
      </c>
      <c r="AZ153" s="104"/>
      <c r="BA153" s="104"/>
      <c r="BB153" s="104"/>
      <c r="BC153" s="104"/>
      <c r="BD153" s="104"/>
      <c r="BE153" s="104"/>
      <c r="BF153" s="104"/>
      <c r="BG153" s="103" t="s">
        <v>6</v>
      </c>
      <c r="BH153" s="104"/>
      <c r="BI153" s="104"/>
      <c r="BJ153" s="104"/>
      <c r="BK153" s="104"/>
      <c r="BL153" s="104"/>
      <c r="BM153" s="104"/>
      <c r="BN153" s="104"/>
      <c r="BO153" s="105">
        <f>SUM(BO154:BO158)</f>
        <v>0</v>
      </c>
      <c r="BP153" s="104"/>
      <c r="BQ153" s="104"/>
      <c r="BR153" s="104"/>
      <c r="BS153" s="104"/>
      <c r="BT153" s="104"/>
      <c r="BU153" s="104"/>
      <c r="BV153" s="104"/>
    </row>
    <row r="154" spans="1:253" ht="12.75">
      <c r="A154" s="97" t="s">
        <v>112</v>
      </c>
      <c r="B154" s="98"/>
      <c r="C154" s="97" t="s">
        <v>238</v>
      </c>
      <c r="D154" s="98"/>
      <c r="E154" s="98"/>
      <c r="F154" s="98"/>
      <c r="G154" s="98"/>
      <c r="H154" s="98"/>
      <c r="I154" s="97" t="s">
        <v>422</v>
      </c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8"/>
      <c r="AD154" s="98"/>
      <c r="AE154" s="98"/>
      <c r="AF154" s="98"/>
      <c r="AG154" s="98"/>
      <c r="AH154" s="98"/>
      <c r="AI154" s="98"/>
      <c r="AJ154" s="97" t="s">
        <v>447</v>
      </c>
      <c r="AK154" s="98"/>
      <c r="AL154" s="99">
        <f>'Stavební rozpočet'!F197</f>
        <v>157.86</v>
      </c>
      <c r="AM154" s="100"/>
      <c r="AN154" s="100"/>
      <c r="AO154" s="100"/>
      <c r="AP154" s="100"/>
      <c r="AQ154" s="99">
        <f>'Stavební rozpočet'!G197</f>
        <v>0</v>
      </c>
      <c r="AR154" s="100"/>
      <c r="AS154" s="100"/>
      <c r="AT154" s="100"/>
      <c r="AU154" s="100"/>
      <c r="AV154" s="100"/>
      <c r="AW154" s="100"/>
      <c r="AX154" s="100"/>
      <c r="AY154" s="99">
        <f>IR154*AL154+IS154*AL154</f>
        <v>0</v>
      </c>
      <c r="AZ154" s="100"/>
      <c r="BA154" s="100"/>
      <c r="BB154" s="100"/>
      <c r="BC154" s="100"/>
      <c r="BD154" s="100"/>
      <c r="BE154" s="100"/>
      <c r="BF154" s="100"/>
      <c r="BG154" s="99">
        <f>'Stavební rozpočet'!K197</f>
        <v>0</v>
      </c>
      <c r="BH154" s="100"/>
      <c r="BI154" s="100"/>
      <c r="BJ154" s="100"/>
      <c r="BK154" s="100"/>
      <c r="BL154" s="100"/>
      <c r="BM154" s="100"/>
      <c r="BN154" s="100"/>
      <c r="BO154" s="99">
        <f>BG154*AL154</f>
        <v>0</v>
      </c>
      <c r="BP154" s="100"/>
      <c r="BQ154" s="100"/>
      <c r="BR154" s="100"/>
      <c r="BS154" s="100"/>
      <c r="BT154" s="100"/>
      <c r="BU154" s="100"/>
      <c r="BV154" s="100"/>
      <c r="IR154" s="39">
        <f>AQ154*0</f>
        <v>0</v>
      </c>
      <c r="IS154" s="39">
        <f>AQ154*(1-0)</f>
        <v>0</v>
      </c>
    </row>
    <row r="155" spans="1:253" ht="12.75">
      <c r="A155" s="97" t="s">
        <v>113</v>
      </c>
      <c r="B155" s="98"/>
      <c r="C155" s="97" t="s">
        <v>239</v>
      </c>
      <c r="D155" s="98"/>
      <c r="E155" s="98"/>
      <c r="F155" s="98"/>
      <c r="G155" s="98"/>
      <c r="H155" s="98"/>
      <c r="I155" s="97" t="s">
        <v>423</v>
      </c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  <c r="AC155" s="98"/>
      <c r="AD155" s="98"/>
      <c r="AE155" s="98"/>
      <c r="AF155" s="98"/>
      <c r="AG155" s="98"/>
      <c r="AH155" s="98"/>
      <c r="AI155" s="98"/>
      <c r="AJ155" s="97" t="s">
        <v>447</v>
      </c>
      <c r="AK155" s="98"/>
      <c r="AL155" s="99">
        <f>'Stavební rozpočet'!F198</f>
        <v>157.86</v>
      </c>
      <c r="AM155" s="100"/>
      <c r="AN155" s="100"/>
      <c r="AO155" s="100"/>
      <c r="AP155" s="100"/>
      <c r="AQ155" s="99">
        <f>'Stavební rozpočet'!G198</f>
        <v>0</v>
      </c>
      <c r="AR155" s="100"/>
      <c r="AS155" s="100"/>
      <c r="AT155" s="100"/>
      <c r="AU155" s="100"/>
      <c r="AV155" s="100"/>
      <c r="AW155" s="100"/>
      <c r="AX155" s="100"/>
      <c r="AY155" s="99">
        <f>IR155*AL155+IS155*AL155</f>
        <v>0</v>
      </c>
      <c r="AZ155" s="100"/>
      <c r="BA155" s="100"/>
      <c r="BB155" s="100"/>
      <c r="BC155" s="100"/>
      <c r="BD155" s="100"/>
      <c r="BE155" s="100"/>
      <c r="BF155" s="100"/>
      <c r="BG155" s="99">
        <f>'Stavební rozpočet'!K198</f>
        <v>0</v>
      </c>
      <c r="BH155" s="100"/>
      <c r="BI155" s="100"/>
      <c r="BJ155" s="100"/>
      <c r="BK155" s="100"/>
      <c r="BL155" s="100"/>
      <c r="BM155" s="100"/>
      <c r="BN155" s="100"/>
      <c r="BO155" s="99">
        <f>BG155*AL155</f>
        <v>0</v>
      </c>
      <c r="BP155" s="100"/>
      <c r="BQ155" s="100"/>
      <c r="BR155" s="100"/>
      <c r="BS155" s="100"/>
      <c r="BT155" s="100"/>
      <c r="BU155" s="100"/>
      <c r="BV155" s="100"/>
      <c r="IR155" s="39">
        <f>AQ155*0</f>
        <v>0</v>
      </c>
      <c r="IS155" s="39">
        <f>AQ155*(1-0)</f>
        <v>0</v>
      </c>
    </row>
    <row r="156" spans="1:253" ht="12.75">
      <c r="A156" s="97" t="s">
        <v>114</v>
      </c>
      <c r="B156" s="98"/>
      <c r="C156" s="97" t="s">
        <v>240</v>
      </c>
      <c r="D156" s="98"/>
      <c r="E156" s="98"/>
      <c r="F156" s="98"/>
      <c r="G156" s="98"/>
      <c r="H156" s="98"/>
      <c r="I156" s="97" t="s">
        <v>424</v>
      </c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8"/>
      <c r="AD156" s="98"/>
      <c r="AE156" s="98"/>
      <c r="AF156" s="98"/>
      <c r="AG156" s="98"/>
      <c r="AH156" s="98"/>
      <c r="AI156" s="98"/>
      <c r="AJ156" s="97" t="s">
        <v>447</v>
      </c>
      <c r="AK156" s="98"/>
      <c r="AL156" s="99">
        <f>'Stavební rozpočet'!F199</f>
        <v>1420.74</v>
      </c>
      <c r="AM156" s="100"/>
      <c r="AN156" s="100"/>
      <c r="AO156" s="100"/>
      <c r="AP156" s="100"/>
      <c r="AQ156" s="99">
        <f>'Stavební rozpočet'!G199</f>
        <v>0</v>
      </c>
      <c r="AR156" s="100"/>
      <c r="AS156" s="100"/>
      <c r="AT156" s="100"/>
      <c r="AU156" s="100"/>
      <c r="AV156" s="100"/>
      <c r="AW156" s="100"/>
      <c r="AX156" s="100"/>
      <c r="AY156" s="99">
        <f>IR156*AL156+IS156*AL156</f>
        <v>0</v>
      </c>
      <c r="AZ156" s="100"/>
      <c r="BA156" s="100"/>
      <c r="BB156" s="100"/>
      <c r="BC156" s="100"/>
      <c r="BD156" s="100"/>
      <c r="BE156" s="100"/>
      <c r="BF156" s="100"/>
      <c r="BG156" s="99">
        <f>'Stavební rozpočet'!K199</f>
        <v>0</v>
      </c>
      <c r="BH156" s="100"/>
      <c r="BI156" s="100"/>
      <c r="BJ156" s="100"/>
      <c r="BK156" s="100"/>
      <c r="BL156" s="100"/>
      <c r="BM156" s="100"/>
      <c r="BN156" s="100"/>
      <c r="BO156" s="99">
        <f>BG156*AL156</f>
        <v>0</v>
      </c>
      <c r="BP156" s="100"/>
      <c r="BQ156" s="100"/>
      <c r="BR156" s="100"/>
      <c r="BS156" s="100"/>
      <c r="BT156" s="100"/>
      <c r="BU156" s="100"/>
      <c r="BV156" s="100"/>
      <c r="IR156" s="39">
        <f>AQ156*0</f>
        <v>0</v>
      </c>
      <c r="IS156" s="39">
        <f>AQ156*(1-0)</f>
        <v>0</v>
      </c>
    </row>
    <row r="157" spans="1:253" ht="12.75">
      <c r="A157" s="97" t="s">
        <v>115</v>
      </c>
      <c r="B157" s="98"/>
      <c r="C157" s="97" t="s">
        <v>241</v>
      </c>
      <c r="D157" s="98"/>
      <c r="E157" s="98"/>
      <c r="F157" s="98"/>
      <c r="G157" s="98"/>
      <c r="H157" s="98"/>
      <c r="I157" s="97" t="s">
        <v>425</v>
      </c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  <c r="AD157" s="98"/>
      <c r="AE157" s="98"/>
      <c r="AF157" s="98"/>
      <c r="AG157" s="98"/>
      <c r="AH157" s="98"/>
      <c r="AI157" s="98"/>
      <c r="AJ157" s="97" t="s">
        <v>447</v>
      </c>
      <c r="AK157" s="98"/>
      <c r="AL157" s="99">
        <f>'Stavební rozpočet'!F200</f>
        <v>1.86</v>
      </c>
      <c r="AM157" s="100"/>
      <c r="AN157" s="100"/>
      <c r="AO157" s="100"/>
      <c r="AP157" s="100"/>
      <c r="AQ157" s="99">
        <f>'Stavební rozpočet'!G200</f>
        <v>0</v>
      </c>
      <c r="AR157" s="100"/>
      <c r="AS157" s="100"/>
      <c r="AT157" s="100"/>
      <c r="AU157" s="100"/>
      <c r="AV157" s="100"/>
      <c r="AW157" s="100"/>
      <c r="AX157" s="100"/>
      <c r="AY157" s="99">
        <f>IR157*AL157+IS157*AL157</f>
        <v>0</v>
      </c>
      <c r="AZ157" s="100"/>
      <c r="BA157" s="100"/>
      <c r="BB157" s="100"/>
      <c r="BC157" s="100"/>
      <c r="BD157" s="100"/>
      <c r="BE157" s="100"/>
      <c r="BF157" s="100"/>
      <c r="BG157" s="99">
        <f>'Stavební rozpočet'!K200</f>
        <v>0</v>
      </c>
      <c r="BH157" s="100"/>
      <c r="BI157" s="100"/>
      <c r="BJ157" s="100"/>
      <c r="BK157" s="100"/>
      <c r="BL157" s="100"/>
      <c r="BM157" s="100"/>
      <c r="BN157" s="100"/>
      <c r="BO157" s="99">
        <f>BG157*AL157</f>
        <v>0</v>
      </c>
      <c r="BP157" s="100"/>
      <c r="BQ157" s="100"/>
      <c r="BR157" s="100"/>
      <c r="BS157" s="100"/>
      <c r="BT157" s="100"/>
      <c r="BU157" s="100"/>
      <c r="BV157" s="100"/>
      <c r="IR157" s="39">
        <f>AQ157*0</f>
        <v>0</v>
      </c>
      <c r="IS157" s="39">
        <f>AQ157*(1-0)</f>
        <v>0</v>
      </c>
    </row>
    <row r="158" spans="1:253" ht="12.75">
      <c r="A158" s="97" t="s">
        <v>116</v>
      </c>
      <c r="B158" s="98"/>
      <c r="C158" s="97" t="s">
        <v>242</v>
      </c>
      <c r="D158" s="98"/>
      <c r="E158" s="98"/>
      <c r="F158" s="98"/>
      <c r="G158" s="98"/>
      <c r="H158" s="98"/>
      <c r="I158" s="97" t="s">
        <v>426</v>
      </c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  <c r="AD158" s="98"/>
      <c r="AE158" s="98"/>
      <c r="AF158" s="98"/>
      <c r="AG158" s="98"/>
      <c r="AH158" s="98"/>
      <c r="AI158" s="98"/>
      <c r="AJ158" s="97" t="s">
        <v>447</v>
      </c>
      <c r="AK158" s="98"/>
      <c r="AL158" s="99">
        <f>'Stavební rozpočet'!F201</f>
        <v>156</v>
      </c>
      <c r="AM158" s="100"/>
      <c r="AN158" s="100"/>
      <c r="AO158" s="100"/>
      <c r="AP158" s="100"/>
      <c r="AQ158" s="99">
        <f>'Stavební rozpočet'!G201</f>
        <v>0</v>
      </c>
      <c r="AR158" s="100"/>
      <c r="AS158" s="100"/>
      <c r="AT158" s="100"/>
      <c r="AU158" s="100"/>
      <c r="AV158" s="100"/>
      <c r="AW158" s="100"/>
      <c r="AX158" s="100"/>
      <c r="AY158" s="99">
        <f>IR158*AL158+IS158*AL158</f>
        <v>0</v>
      </c>
      <c r="AZ158" s="100"/>
      <c r="BA158" s="100"/>
      <c r="BB158" s="100"/>
      <c r="BC158" s="100"/>
      <c r="BD158" s="100"/>
      <c r="BE158" s="100"/>
      <c r="BF158" s="100"/>
      <c r="BG158" s="99">
        <f>'Stavební rozpočet'!K201</f>
        <v>0</v>
      </c>
      <c r="BH158" s="100"/>
      <c r="BI158" s="100"/>
      <c r="BJ158" s="100"/>
      <c r="BK158" s="100"/>
      <c r="BL158" s="100"/>
      <c r="BM158" s="100"/>
      <c r="BN158" s="100"/>
      <c r="BO158" s="99">
        <f>BG158*AL158</f>
        <v>0</v>
      </c>
      <c r="BP158" s="100"/>
      <c r="BQ158" s="100"/>
      <c r="BR158" s="100"/>
      <c r="BS158" s="100"/>
      <c r="BT158" s="100"/>
      <c r="BU158" s="100"/>
      <c r="BV158" s="100"/>
      <c r="IR158" s="39">
        <f>AQ158*0</f>
        <v>0</v>
      </c>
      <c r="IS158" s="39">
        <f>AQ158*(1-0)</f>
        <v>0</v>
      </c>
    </row>
    <row r="159" spans="1:74" ht="12.75">
      <c r="A159" s="101" t="s">
        <v>6</v>
      </c>
      <c r="B159" s="102"/>
      <c r="C159" s="101"/>
      <c r="D159" s="102"/>
      <c r="E159" s="102"/>
      <c r="F159" s="102"/>
      <c r="G159" s="102"/>
      <c r="H159" s="102"/>
      <c r="I159" s="101" t="s">
        <v>427</v>
      </c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  <c r="V159" s="102"/>
      <c r="W159" s="102"/>
      <c r="X159" s="102"/>
      <c r="Y159" s="102"/>
      <c r="Z159" s="102"/>
      <c r="AA159" s="102"/>
      <c r="AB159" s="102"/>
      <c r="AC159" s="102"/>
      <c r="AD159" s="102"/>
      <c r="AE159" s="102"/>
      <c r="AF159" s="102"/>
      <c r="AG159" s="102"/>
      <c r="AH159" s="102"/>
      <c r="AI159" s="102"/>
      <c r="AJ159" s="101" t="s">
        <v>6</v>
      </c>
      <c r="AK159" s="102"/>
      <c r="AL159" s="103" t="s">
        <v>6</v>
      </c>
      <c r="AM159" s="104"/>
      <c r="AN159" s="104"/>
      <c r="AO159" s="104"/>
      <c r="AP159" s="104"/>
      <c r="AQ159" s="103" t="s">
        <v>6</v>
      </c>
      <c r="AR159" s="104"/>
      <c r="AS159" s="104"/>
      <c r="AT159" s="104"/>
      <c r="AU159" s="104"/>
      <c r="AV159" s="104"/>
      <c r="AW159" s="104"/>
      <c r="AX159" s="104"/>
      <c r="AY159" s="108">
        <f>SUM(AY160:AY165)</f>
        <v>0</v>
      </c>
      <c r="AZ159" s="109"/>
      <c r="BA159" s="109"/>
      <c r="BB159" s="109"/>
      <c r="BC159" s="109"/>
      <c r="BD159" s="109"/>
      <c r="BE159" s="109"/>
      <c r="BF159" s="109"/>
      <c r="BG159" s="103" t="s">
        <v>6</v>
      </c>
      <c r="BH159" s="104"/>
      <c r="BI159" s="104"/>
      <c r="BJ159" s="104"/>
      <c r="BK159" s="104"/>
      <c r="BL159" s="104"/>
      <c r="BM159" s="104"/>
      <c r="BN159" s="104"/>
      <c r="BO159" s="108">
        <f>SUM(BO160:BO165)</f>
        <v>0.21380000000000002</v>
      </c>
      <c r="BP159" s="109"/>
      <c r="BQ159" s="109"/>
      <c r="BR159" s="109"/>
      <c r="BS159" s="109"/>
      <c r="BT159" s="109"/>
      <c r="BU159" s="109"/>
      <c r="BV159" s="109"/>
    </row>
    <row r="160" spans="1:253" ht="12.75">
      <c r="A160" s="110" t="s">
        <v>117</v>
      </c>
      <c r="B160" s="111"/>
      <c r="C160" s="110" t="s">
        <v>243</v>
      </c>
      <c r="D160" s="111"/>
      <c r="E160" s="111"/>
      <c r="F160" s="111"/>
      <c r="G160" s="111"/>
      <c r="H160" s="111"/>
      <c r="I160" s="110" t="s">
        <v>428</v>
      </c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11"/>
      <c r="U160" s="111"/>
      <c r="V160" s="111"/>
      <c r="W160" s="111"/>
      <c r="X160" s="111"/>
      <c r="Y160" s="111"/>
      <c r="Z160" s="111"/>
      <c r="AA160" s="111"/>
      <c r="AB160" s="111"/>
      <c r="AC160" s="111"/>
      <c r="AD160" s="111"/>
      <c r="AE160" s="111"/>
      <c r="AF160" s="111"/>
      <c r="AG160" s="111"/>
      <c r="AH160" s="111"/>
      <c r="AI160" s="111"/>
      <c r="AJ160" s="110" t="s">
        <v>448</v>
      </c>
      <c r="AK160" s="111"/>
      <c r="AL160" s="112">
        <f>'Stavební rozpočet'!F203</f>
        <v>6</v>
      </c>
      <c r="AM160" s="113"/>
      <c r="AN160" s="113"/>
      <c r="AO160" s="113"/>
      <c r="AP160" s="113"/>
      <c r="AQ160" s="112">
        <f>'Stavební rozpočet'!G203</f>
        <v>0</v>
      </c>
      <c r="AR160" s="113"/>
      <c r="AS160" s="113"/>
      <c r="AT160" s="113"/>
      <c r="AU160" s="113"/>
      <c r="AV160" s="113"/>
      <c r="AW160" s="113"/>
      <c r="AX160" s="113"/>
      <c r="AY160" s="112">
        <f aca="true" t="shared" si="8" ref="AY160:AY165">IR160*AL160+IS160*AL160</f>
        <v>0</v>
      </c>
      <c r="AZ160" s="113"/>
      <c r="BA160" s="113"/>
      <c r="BB160" s="113"/>
      <c r="BC160" s="113"/>
      <c r="BD160" s="113"/>
      <c r="BE160" s="113"/>
      <c r="BF160" s="113"/>
      <c r="BG160" s="112">
        <f>'Stavební rozpočet'!K203</f>
        <v>0.0113</v>
      </c>
      <c r="BH160" s="113"/>
      <c r="BI160" s="113"/>
      <c r="BJ160" s="113"/>
      <c r="BK160" s="113"/>
      <c r="BL160" s="113"/>
      <c r="BM160" s="113"/>
      <c r="BN160" s="113"/>
      <c r="BO160" s="112">
        <f aca="true" t="shared" si="9" ref="BO160:BO165">BG160*AL160</f>
        <v>0.0678</v>
      </c>
      <c r="BP160" s="113"/>
      <c r="BQ160" s="113"/>
      <c r="BR160" s="113"/>
      <c r="BS160" s="113"/>
      <c r="BT160" s="113"/>
      <c r="BU160" s="113"/>
      <c r="BV160" s="113"/>
      <c r="IR160" s="40">
        <f aca="true" t="shared" si="10" ref="IR160:IR165">AQ160*1</f>
        <v>0</v>
      </c>
      <c r="IS160" s="40">
        <f aca="true" t="shared" si="11" ref="IS160:IS165">AQ160*(1-1)</f>
        <v>0</v>
      </c>
    </row>
    <row r="161" spans="1:253" ht="12.75">
      <c r="A161" s="110" t="s">
        <v>118</v>
      </c>
      <c r="B161" s="111"/>
      <c r="C161" s="110" t="s">
        <v>244</v>
      </c>
      <c r="D161" s="111"/>
      <c r="E161" s="111"/>
      <c r="F161" s="111"/>
      <c r="G161" s="111"/>
      <c r="H161" s="111"/>
      <c r="I161" s="110" t="s">
        <v>429</v>
      </c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11"/>
      <c r="W161" s="111"/>
      <c r="X161" s="111"/>
      <c r="Y161" s="111"/>
      <c r="Z161" s="111"/>
      <c r="AA161" s="111"/>
      <c r="AB161" s="111"/>
      <c r="AC161" s="111"/>
      <c r="AD161" s="111"/>
      <c r="AE161" s="111"/>
      <c r="AF161" s="111"/>
      <c r="AG161" s="111"/>
      <c r="AH161" s="111"/>
      <c r="AI161" s="111"/>
      <c r="AJ161" s="110" t="s">
        <v>448</v>
      </c>
      <c r="AK161" s="111"/>
      <c r="AL161" s="112">
        <f>'Stavební rozpočet'!F204</f>
        <v>3</v>
      </c>
      <c r="AM161" s="113"/>
      <c r="AN161" s="113"/>
      <c r="AO161" s="113"/>
      <c r="AP161" s="113"/>
      <c r="AQ161" s="112">
        <f>'Stavební rozpočet'!G204</f>
        <v>0</v>
      </c>
      <c r="AR161" s="113"/>
      <c r="AS161" s="113"/>
      <c r="AT161" s="113"/>
      <c r="AU161" s="113"/>
      <c r="AV161" s="113"/>
      <c r="AW161" s="113"/>
      <c r="AX161" s="113"/>
      <c r="AY161" s="112">
        <f t="shared" si="8"/>
        <v>0</v>
      </c>
      <c r="AZ161" s="113"/>
      <c r="BA161" s="113"/>
      <c r="BB161" s="113"/>
      <c r="BC161" s="113"/>
      <c r="BD161" s="113"/>
      <c r="BE161" s="113"/>
      <c r="BF161" s="113"/>
      <c r="BG161" s="112">
        <f>'Stavební rozpočet'!K204</f>
        <v>0.015</v>
      </c>
      <c r="BH161" s="113"/>
      <c r="BI161" s="113"/>
      <c r="BJ161" s="113"/>
      <c r="BK161" s="113"/>
      <c r="BL161" s="113"/>
      <c r="BM161" s="113"/>
      <c r="BN161" s="113"/>
      <c r="BO161" s="112">
        <f t="shared" si="9"/>
        <v>0.045</v>
      </c>
      <c r="BP161" s="113"/>
      <c r="BQ161" s="113"/>
      <c r="BR161" s="113"/>
      <c r="BS161" s="113"/>
      <c r="BT161" s="113"/>
      <c r="BU161" s="113"/>
      <c r="BV161" s="113"/>
      <c r="IR161" s="40">
        <f t="shared" si="10"/>
        <v>0</v>
      </c>
      <c r="IS161" s="40">
        <f t="shared" si="11"/>
        <v>0</v>
      </c>
    </row>
    <row r="162" spans="1:253" ht="12.75">
      <c r="A162" s="110" t="s">
        <v>119</v>
      </c>
      <c r="B162" s="111"/>
      <c r="C162" s="110" t="s">
        <v>245</v>
      </c>
      <c r="D162" s="111"/>
      <c r="E162" s="111"/>
      <c r="F162" s="111"/>
      <c r="G162" s="111"/>
      <c r="H162" s="111"/>
      <c r="I162" s="110" t="s">
        <v>430</v>
      </c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111"/>
      <c r="W162" s="111"/>
      <c r="X162" s="111"/>
      <c r="Y162" s="111"/>
      <c r="Z162" s="111"/>
      <c r="AA162" s="111"/>
      <c r="AB162" s="111"/>
      <c r="AC162" s="111"/>
      <c r="AD162" s="111"/>
      <c r="AE162" s="111"/>
      <c r="AF162" s="111"/>
      <c r="AG162" s="111"/>
      <c r="AH162" s="111"/>
      <c r="AI162" s="111"/>
      <c r="AJ162" s="110" t="s">
        <v>448</v>
      </c>
      <c r="AK162" s="111"/>
      <c r="AL162" s="112">
        <f>'Stavební rozpočet'!F205</f>
        <v>6</v>
      </c>
      <c r="AM162" s="113"/>
      <c r="AN162" s="113"/>
      <c r="AO162" s="113"/>
      <c r="AP162" s="113"/>
      <c r="AQ162" s="112">
        <f>'Stavební rozpočet'!G205</f>
        <v>0</v>
      </c>
      <c r="AR162" s="113"/>
      <c r="AS162" s="113"/>
      <c r="AT162" s="113"/>
      <c r="AU162" s="113"/>
      <c r="AV162" s="113"/>
      <c r="AW162" s="113"/>
      <c r="AX162" s="113"/>
      <c r="AY162" s="112">
        <f t="shared" si="8"/>
        <v>0</v>
      </c>
      <c r="AZ162" s="113"/>
      <c r="BA162" s="113"/>
      <c r="BB162" s="113"/>
      <c r="BC162" s="113"/>
      <c r="BD162" s="113"/>
      <c r="BE162" s="113"/>
      <c r="BF162" s="113"/>
      <c r="BG162" s="112">
        <f>'Stavební rozpočet'!K205</f>
        <v>0.0099</v>
      </c>
      <c r="BH162" s="113"/>
      <c r="BI162" s="113"/>
      <c r="BJ162" s="113"/>
      <c r="BK162" s="113"/>
      <c r="BL162" s="113"/>
      <c r="BM162" s="113"/>
      <c r="BN162" s="113"/>
      <c r="BO162" s="112">
        <f t="shared" si="9"/>
        <v>0.05940000000000001</v>
      </c>
      <c r="BP162" s="113"/>
      <c r="BQ162" s="113"/>
      <c r="BR162" s="113"/>
      <c r="BS162" s="113"/>
      <c r="BT162" s="113"/>
      <c r="BU162" s="113"/>
      <c r="BV162" s="113"/>
      <c r="IR162" s="40">
        <f t="shared" si="10"/>
        <v>0</v>
      </c>
      <c r="IS162" s="40">
        <f t="shared" si="11"/>
        <v>0</v>
      </c>
    </row>
    <row r="163" spans="1:253" ht="12.75">
      <c r="A163" s="110" t="s">
        <v>120</v>
      </c>
      <c r="B163" s="111"/>
      <c r="C163" s="110" t="s">
        <v>246</v>
      </c>
      <c r="D163" s="111"/>
      <c r="E163" s="111"/>
      <c r="F163" s="111"/>
      <c r="G163" s="111"/>
      <c r="H163" s="111"/>
      <c r="I163" s="110" t="s">
        <v>431</v>
      </c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11"/>
      <c r="V163" s="111"/>
      <c r="W163" s="111"/>
      <c r="X163" s="111"/>
      <c r="Y163" s="111"/>
      <c r="Z163" s="111"/>
      <c r="AA163" s="111"/>
      <c r="AB163" s="111"/>
      <c r="AC163" s="111"/>
      <c r="AD163" s="111"/>
      <c r="AE163" s="111"/>
      <c r="AF163" s="111"/>
      <c r="AG163" s="111"/>
      <c r="AH163" s="111"/>
      <c r="AI163" s="111"/>
      <c r="AJ163" s="110" t="s">
        <v>448</v>
      </c>
      <c r="AK163" s="111"/>
      <c r="AL163" s="112">
        <f>'Stavební rozpočet'!F206</f>
        <v>120</v>
      </c>
      <c r="AM163" s="113"/>
      <c r="AN163" s="113"/>
      <c r="AO163" s="113"/>
      <c r="AP163" s="113"/>
      <c r="AQ163" s="112">
        <f>'Stavební rozpočet'!G206</f>
        <v>0</v>
      </c>
      <c r="AR163" s="113"/>
      <c r="AS163" s="113"/>
      <c r="AT163" s="113"/>
      <c r="AU163" s="113"/>
      <c r="AV163" s="113"/>
      <c r="AW163" s="113"/>
      <c r="AX163" s="113"/>
      <c r="AY163" s="112">
        <f t="shared" si="8"/>
        <v>0</v>
      </c>
      <c r="AZ163" s="113"/>
      <c r="BA163" s="113"/>
      <c r="BB163" s="113"/>
      <c r="BC163" s="113"/>
      <c r="BD163" s="113"/>
      <c r="BE163" s="113"/>
      <c r="BF163" s="113"/>
      <c r="BG163" s="112">
        <f>'Stavební rozpočet'!K206</f>
        <v>0</v>
      </c>
      <c r="BH163" s="113"/>
      <c r="BI163" s="113"/>
      <c r="BJ163" s="113"/>
      <c r="BK163" s="113"/>
      <c r="BL163" s="113"/>
      <c r="BM163" s="113"/>
      <c r="BN163" s="113"/>
      <c r="BO163" s="112">
        <f t="shared" si="9"/>
        <v>0</v>
      </c>
      <c r="BP163" s="113"/>
      <c r="BQ163" s="113"/>
      <c r="BR163" s="113"/>
      <c r="BS163" s="113"/>
      <c r="BT163" s="113"/>
      <c r="BU163" s="113"/>
      <c r="BV163" s="113"/>
      <c r="IR163" s="40">
        <f t="shared" si="10"/>
        <v>0</v>
      </c>
      <c r="IS163" s="40">
        <f t="shared" si="11"/>
        <v>0</v>
      </c>
    </row>
    <row r="164" spans="1:253" ht="12.75">
      <c r="A164" s="110" t="s">
        <v>121</v>
      </c>
      <c r="B164" s="111"/>
      <c r="C164" s="110" t="s">
        <v>247</v>
      </c>
      <c r="D164" s="111"/>
      <c r="E164" s="111"/>
      <c r="F164" s="111"/>
      <c r="G164" s="111"/>
      <c r="H164" s="111"/>
      <c r="I164" s="110" t="s">
        <v>432</v>
      </c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11"/>
      <c r="U164" s="111"/>
      <c r="V164" s="111"/>
      <c r="W164" s="111"/>
      <c r="X164" s="111"/>
      <c r="Y164" s="111"/>
      <c r="Z164" s="111"/>
      <c r="AA164" s="111"/>
      <c r="AB164" s="111"/>
      <c r="AC164" s="111"/>
      <c r="AD164" s="111"/>
      <c r="AE164" s="111"/>
      <c r="AF164" s="111"/>
      <c r="AG164" s="111"/>
      <c r="AH164" s="111"/>
      <c r="AI164" s="111"/>
      <c r="AJ164" s="110" t="s">
        <v>442</v>
      </c>
      <c r="AK164" s="111"/>
      <c r="AL164" s="112">
        <f>'Stavební rozpočet'!F207</f>
        <v>18</v>
      </c>
      <c r="AM164" s="113"/>
      <c r="AN164" s="113"/>
      <c r="AO164" s="113"/>
      <c r="AP164" s="113"/>
      <c r="AQ164" s="112">
        <f>'Stavební rozpočet'!G207</f>
        <v>0</v>
      </c>
      <c r="AR164" s="113"/>
      <c r="AS164" s="113"/>
      <c r="AT164" s="113"/>
      <c r="AU164" s="113"/>
      <c r="AV164" s="113"/>
      <c r="AW164" s="113"/>
      <c r="AX164" s="113"/>
      <c r="AY164" s="112">
        <f t="shared" si="8"/>
        <v>0</v>
      </c>
      <c r="AZ164" s="113"/>
      <c r="BA164" s="113"/>
      <c r="BB164" s="113"/>
      <c r="BC164" s="113"/>
      <c r="BD164" s="113"/>
      <c r="BE164" s="113"/>
      <c r="BF164" s="113"/>
      <c r="BG164" s="112">
        <f>'Stavební rozpočet'!K207</f>
        <v>0.0002</v>
      </c>
      <c r="BH164" s="113"/>
      <c r="BI164" s="113"/>
      <c r="BJ164" s="113"/>
      <c r="BK164" s="113"/>
      <c r="BL164" s="113"/>
      <c r="BM164" s="113"/>
      <c r="BN164" s="113"/>
      <c r="BO164" s="112">
        <f t="shared" si="9"/>
        <v>0.0036000000000000003</v>
      </c>
      <c r="BP164" s="113"/>
      <c r="BQ164" s="113"/>
      <c r="BR164" s="113"/>
      <c r="BS164" s="113"/>
      <c r="BT164" s="113"/>
      <c r="BU164" s="113"/>
      <c r="BV164" s="113"/>
      <c r="IR164" s="40">
        <f t="shared" si="10"/>
        <v>0</v>
      </c>
      <c r="IS164" s="40">
        <f t="shared" si="11"/>
        <v>0</v>
      </c>
    </row>
    <row r="165" spans="1:253" ht="12.75">
      <c r="A165" s="110" t="s">
        <v>122</v>
      </c>
      <c r="B165" s="111"/>
      <c r="C165" s="110" t="s">
        <v>248</v>
      </c>
      <c r="D165" s="111"/>
      <c r="E165" s="111"/>
      <c r="F165" s="111"/>
      <c r="G165" s="111"/>
      <c r="H165" s="111"/>
      <c r="I165" s="110" t="s">
        <v>433</v>
      </c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111"/>
      <c r="W165" s="111"/>
      <c r="X165" s="111"/>
      <c r="Y165" s="111"/>
      <c r="Z165" s="111"/>
      <c r="AA165" s="111"/>
      <c r="AB165" s="111"/>
      <c r="AC165" s="111"/>
      <c r="AD165" s="111"/>
      <c r="AE165" s="111"/>
      <c r="AF165" s="111"/>
      <c r="AG165" s="111"/>
      <c r="AH165" s="111"/>
      <c r="AI165" s="111"/>
      <c r="AJ165" s="110" t="s">
        <v>448</v>
      </c>
      <c r="AK165" s="111"/>
      <c r="AL165" s="112">
        <f>'Stavební rozpočet'!F208</f>
        <v>2</v>
      </c>
      <c r="AM165" s="113"/>
      <c r="AN165" s="113"/>
      <c r="AO165" s="113"/>
      <c r="AP165" s="113"/>
      <c r="AQ165" s="112">
        <f>'Stavební rozpočet'!G208</f>
        <v>0</v>
      </c>
      <c r="AR165" s="113"/>
      <c r="AS165" s="113"/>
      <c r="AT165" s="113"/>
      <c r="AU165" s="113"/>
      <c r="AV165" s="113"/>
      <c r="AW165" s="113"/>
      <c r="AX165" s="113"/>
      <c r="AY165" s="112">
        <f t="shared" si="8"/>
        <v>0</v>
      </c>
      <c r="AZ165" s="113"/>
      <c r="BA165" s="113"/>
      <c r="BB165" s="113"/>
      <c r="BC165" s="113"/>
      <c r="BD165" s="113"/>
      <c r="BE165" s="113"/>
      <c r="BF165" s="113"/>
      <c r="BG165" s="112">
        <f>'Stavební rozpočet'!K208</f>
        <v>0.019</v>
      </c>
      <c r="BH165" s="113"/>
      <c r="BI165" s="113"/>
      <c r="BJ165" s="113"/>
      <c r="BK165" s="113"/>
      <c r="BL165" s="113"/>
      <c r="BM165" s="113"/>
      <c r="BN165" s="113"/>
      <c r="BO165" s="112">
        <f t="shared" si="9"/>
        <v>0.038</v>
      </c>
      <c r="BP165" s="113"/>
      <c r="BQ165" s="113"/>
      <c r="BR165" s="113"/>
      <c r="BS165" s="113"/>
      <c r="BT165" s="113"/>
      <c r="BU165" s="113"/>
      <c r="BV165" s="113"/>
      <c r="IR165" s="40">
        <f t="shared" si="10"/>
        <v>0</v>
      </c>
      <c r="IS165" s="40">
        <f t="shared" si="11"/>
        <v>0</v>
      </c>
    </row>
    <row r="167" spans="43:58" ht="12.75">
      <c r="AQ167" s="114" t="s">
        <v>460</v>
      </c>
      <c r="AR167" s="68"/>
      <c r="AS167" s="68"/>
      <c r="AT167" s="68"/>
      <c r="AU167" s="68"/>
      <c r="AV167" s="68"/>
      <c r="AW167" s="68"/>
      <c r="AX167" s="68"/>
      <c r="AY167" s="115">
        <f>AY11+AY23+AY25+AY34+AY37+AY42+AY46+AY50+AY53+AY56+AY61+AY63+AY65+AY67+AY70+AY72+AY74+AY80+AY84+AY87+AY89+AY93+AY95+AY97+AY103+AY106+AY108+AY122+AY125+AY129+AY131+AY136+AY140+AY142+AY144+AY146+AY148+AY153+AY159</f>
        <v>0</v>
      </c>
      <c r="AZ167" s="116"/>
      <c r="BA167" s="116"/>
      <c r="BB167" s="116"/>
      <c r="BC167" s="116"/>
      <c r="BD167" s="116"/>
      <c r="BE167" s="116"/>
      <c r="BF167" s="116"/>
    </row>
  </sheetData>
  <sheetProtection/>
  <mergeCells count="1431">
    <mergeCell ref="AQ167:AX167"/>
    <mergeCell ref="AY167:BF167"/>
    <mergeCell ref="BO164:BV164"/>
    <mergeCell ref="A165:B165"/>
    <mergeCell ref="C165:H165"/>
    <mergeCell ref="I165:AI165"/>
    <mergeCell ref="AJ165:AK165"/>
    <mergeCell ref="AL165:AP165"/>
    <mergeCell ref="AQ165:AX165"/>
    <mergeCell ref="AY165:BF165"/>
    <mergeCell ref="BG165:BN165"/>
    <mergeCell ref="BO165:BV165"/>
    <mergeCell ref="BG163:BN163"/>
    <mergeCell ref="BO163:BV163"/>
    <mergeCell ref="A164:B164"/>
    <mergeCell ref="C164:H164"/>
    <mergeCell ref="I164:AI164"/>
    <mergeCell ref="AJ164:AK164"/>
    <mergeCell ref="AL164:AP164"/>
    <mergeCell ref="AQ164:AX164"/>
    <mergeCell ref="AY164:BF164"/>
    <mergeCell ref="BG164:BN164"/>
    <mergeCell ref="AY162:BF162"/>
    <mergeCell ref="BG162:BN162"/>
    <mergeCell ref="BO162:BV162"/>
    <mergeCell ref="A163:B163"/>
    <mergeCell ref="C163:H163"/>
    <mergeCell ref="I163:AI163"/>
    <mergeCell ref="AJ163:AK163"/>
    <mergeCell ref="AL163:AP163"/>
    <mergeCell ref="AQ163:AX163"/>
    <mergeCell ref="AY163:BF163"/>
    <mergeCell ref="A162:B162"/>
    <mergeCell ref="C162:H162"/>
    <mergeCell ref="I162:AI162"/>
    <mergeCell ref="AJ162:AK162"/>
    <mergeCell ref="AL162:AP162"/>
    <mergeCell ref="AQ162:AX162"/>
    <mergeCell ref="BO160:BV160"/>
    <mergeCell ref="A161:B161"/>
    <mergeCell ref="C161:H161"/>
    <mergeCell ref="I161:AI161"/>
    <mergeCell ref="AJ161:AK161"/>
    <mergeCell ref="AL161:AP161"/>
    <mergeCell ref="AQ161:AX161"/>
    <mergeCell ref="AY161:BF161"/>
    <mergeCell ref="BG161:BN161"/>
    <mergeCell ref="BO161:BV161"/>
    <mergeCell ref="BG159:BN159"/>
    <mergeCell ref="BO159:BV159"/>
    <mergeCell ref="A160:B160"/>
    <mergeCell ref="C160:H160"/>
    <mergeCell ref="I160:AI160"/>
    <mergeCell ref="AJ160:AK160"/>
    <mergeCell ref="AL160:AP160"/>
    <mergeCell ref="AQ160:AX160"/>
    <mergeCell ref="AY160:BF160"/>
    <mergeCell ref="BG160:BN160"/>
    <mergeCell ref="AY158:BF158"/>
    <mergeCell ref="BG158:BN158"/>
    <mergeCell ref="BO158:BV158"/>
    <mergeCell ref="A159:B159"/>
    <mergeCell ref="C159:H159"/>
    <mergeCell ref="I159:AI159"/>
    <mergeCell ref="AJ159:AK159"/>
    <mergeCell ref="AL159:AP159"/>
    <mergeCell ref="AQ159:AX159"/>
    <mergeCell ref="AY159:BF159"/>
    <mergeCell ref="A158:B158"/>
    <mergeCell ref="C158:H158"/>
    <mergeCell ref="I158:AI158"/>
    <mergeCell ref="AJ158:AK158"/>
    <mergeCell ref="AL158:AP158"/>
    <mergeCell ref="AQ158:AX158"/>
    <mergeCell ref="BO156:BV156"/>
    <mergeCell ref="A157:B157"/>
    <mergeCell ref="C157:H157"/>
    <mergeCell ref="I157:AI157"/>
    <mergeCell ref="AJ157:AK157"/>
    <mergeCell ref="AL157:AP157"/>
    <mergeCell ref="AQ157:AX157"/>
    <mergeCell ref="AY157:BF157"/>
    <mergeCell ref="BG157:BN157"/>
    <mergeCell ref="BO157:BV157"/>
    <mergeCell ref="BG155:BN155"/>
    <mergeCell ref="BO155:BV155"/>
    <mergeCell ref="A156:B156"/>
    <mergeCell ref="C156:H156"/>
    <mergeCell ref="I156:AI156"/>
    <mergeCell ref="AJ156:AK156"/>
    <mergeCell ref="AL156:AP156"/>
    <mergeCell ref="AQ156:AX156"/>
    <mergeCell ref="AY156:BF156"/>
    <mergeCell ref="BG156:BN156"/>
    <mergeCell ref="AY154:BF154"/>
    <mergeCell ref="BG154:BN154"/>
    <mergeCell ref="BO154:BV154"/>
    <mergeCell ref="A155:B155"/>
    <mergeCell ref="C155:H155"/>
    <mergeCell ref="I155:AI155"/>
    <mergeCell ref="AJ155:AK155"/>
    <mergeCell ref="AL155:AP155"/>
    <mergeCell ref="AQ155:AX155"/>
    <mergeCell ref="AY155:BF155"/>
    <mergeCell ref="A154:B154"/>
    <mergeCell ref="C154:H154"/>
    <mergeCell ref="I154:AI154"/>
    <mergeCell ref="AJ154:AK154"/>
    <mergeCell ref="AL154:AP154"/>
    <mergeCell ref="AQ154:AX154"/>
    <mergeCell ref="BO152:BV152"/>
    <mergeCell ref="A153:B153"/>
    <mergeCell ref="C153:H153"/>
    <mergeCell ref="I153:AI153"/>
    <mergeCell ref="AJ153:AK153"/>
    <mergeCell ref="AL153:AP153"/>
    <mergeCell ref="AQ153:AX153"/>
    <mergeCell ref="AY153:BF153"/>
    <mergeCell ref="BG153:BN153"/>
    <mergeCell ref="BO153:BV153"/>
    <mergeCell ref="BG151:BN151"/>
    <mergeCell ref="BO151:BV151"/>
    <mergeCell ref="A152:B152"/>
    <mergeCell ref="C152:H152"/>
    <mergeCell ref="I152:AI152"/>
    <mergeCell ref="AJ152:AK152"/>
    <mergeCell ref="AL152:AP152"/>
    <mergeCell ref="AQ152:AX152"/>
    <mergeCell ref="AY152:BF152"/>
    <mergeCell ref="BG152:BN152"/>
    <mergeCell ref="AY150:BF150"/>
    <mergeCell ref="BG150:BN150"/>
    <mergeCell ref="BO150:BV150"/>
    <mergeCell ref="A151:B151"/>
    <mergeCell ref="C151:H151"/>
    <mergeCell ref="I151:AI151"/>
    <mergeCell ref="AJ151:AK151"/>
    <mergeCell ref="AL151:AP151"/>
    <mergeCell ref="AQ151:AX151"/>
    <mergeCell ref="AY151:BF151"/>
    <mergeCell ref="A150:B150"/>
    <mergeCell ref="C150:H150"/>
    <mergeCell ref="I150:AI150"/>
    <mergeCell ref="AJ150:AK150"/>
    <mergeCell ref="AL150:AP150"/>
    <mergeCell ref="AQ150:AX150"/>
    <mergeCell ref="BO148:BV148"/>
    <mergeCell ref="A149:B149"/>
    <mergeCell ref="C149:H149"/>
    <mergeCell ref="I149:AI149"/>
    <mergeCell ref="AJ149:AK149"/>
    <mergeCell ref="AL149:AP149"/>
    <mergeCell ref="AQ149:AX149"/>
    <mergeCell ref="AY149:BF149"/>
    <mergeCell ref="BG149:BN149"/>
    <mergeCell ref="BO149:BV149"/>
    <mergeCell ref="BG147:BN147"/>
    <mergeCell ref="BO147:BV147"/>
    <mergeCell ref="A148:B148"/>
    <mergeCell ref="C148:H148"/>
    <mergeCell ref="I148:AI148"/>
    <mergeCell ref="AJ148:AK148"/>
    <mergeCell ref="AL148:AP148"/>
    <mergeCell ref="AQ148:AX148"/>
    <mergeCell ref="AY148:BF148"/>
    <mergeCell ref="BG148:BN148"/>
    <mergeCell ref="AY146:BF146"/>
    <mergeCell ref="BG146:BN146"/>
    <mergeCell ref="BO146:BV146"/>
    <mergeCell ref="A147:B147"/>
    <mergeCell ref="C147:H147"/>
    <mergeCell ref="I147:AI147"/>
    <mergeCell ref="AJ147:AK147"/>
    <mergeCell ref="AL147:AP147"/>
    <mergeCell ref="AQ147:AX147"/>
    <mergeCell ref="AY147:BF147"/>
    <mergeCell ref="A146:B146"/>
    <mergeCell ref="C146:H146"/>
    <mergeCell ref="I146:AI146"/>
    <mergeCell ref="AJ146:AK146"/>
    <mergeCell ref="AL146:AP146"/>
    <mergeCell ref="AQ146:AX146"/>
    <mergeCell ref="BO144:BV144"/>
    <mergeCell ref="A145:B145"/>
    <mergeCell ref="C145:H145"/>
    <mergeCell ref="I145:AI145"/>
    <mergeCell ref="AJ145:AK145"/>
    <mergeCell ref="AL145:AP145"/>
    <mergeCell ref="AQ145:AX145"/>
    <mergeCell ref="AY145:BF145"/>
    <mergeCell ref="BG145:BN145"/>
    <mergeCell ref="BO145:BV145"/>
    <mergeCell ref="BG143:BN143"/>
    <mergeCell ref="BO143:BV143"/>
    <mergeCell ref="A144:B144"/>
    <mergeCell ref="C144:H144"/>
    <mergeCell ref="I144:AI144"/>
    <mergeCell ref="AJ144:AK144"/>
    <mergeCell ref="AL144:AP144"/>
    <mergeCell ref="AQ144:AX144"/>
    <mergeCell ref="AY144:BF144"/>
    <mergeCell ref="BG144:BN144"/>
    <mergeCell ref="AY142:BF142"/>
    <mergeCell ref="BG142:BN142"/>
    <mergeCell ref="BO142:BV142"/>
    <mergeCell ref="A143:B143"/>
    <mergeCell ref="C143:H143"/>
    <mergeCell ref="I143:AI143"/>
    <mergeCell ref="AJ143:AK143"/>
    <mergeCell ref="AL143:AP143"/>
    <mergeCell ref="AQ143:AX143"/>
    <mergeCell ref="AY143:BF143"/>
    <mergeCell ref="A142:B142"/>
    <mergeCell ref="C142:H142"/>
    <mergeCell ref="I142:AI142"/>
    <mergeCell ref="AJ142:AK142"/>
    <mergeCell ref="AL142:AP142"/>
    <mergeCell ref="AQ142:AX142"/>
    <mergeCell ref="BO140:BV140"/>
    <mergeCell ref="A141:B141"/>
    <mergeCell ref="C141:H141"/>
    <mergeCell ref="I141:AI141"/>
    <mergeCell ref="AJ141:AK141"/>
    <mergeCell ref="AL141:AP141"/>
    <mergeCell ref="AQ141:AX141"/>
    <mergeCell ref="AY141:BF141"/>
    <mergeCell ref="BG141:BN141"/>
    <mergeCell ref="BO141:BV141"/>
    <mergeCell ref="BG139:BN139"/>
    <mergeCell ref="BO139:BV139"/>
    <mergeCell ref="A140:B140"/>
    <mergeCell ref="C140:H140"/>
    <mergeCell ref="I140:AI140"/>
    <mergeCell ref="AJ140:AK140"/>
    <mergeCell ref="AL140:AP140"/>
    <mergeCell ref="AQ140:AX140"/>
    <mergeCell ref="AY140:BF140"/>
    <mergeCell ref="BG140:BN140"/>
    <mergeCell ref="AY138:BF138"/>
    <mergeCell ref="BG138:BN138"/>
    <mergeCell ref="BO138:BV138"/>
    <mergeCell ref="A139:B139"/>
    <mergeCell ref="C139:H139"/>
    <mergeCell ref="I139:AI139"/>
    <mergeCell ref="AJ139:AK139"/>
    <mergeCell ref="AL139:AP139"/>
    <mergeCell ref="AQ139:AX139"/>
    <mergeCell ref="AY139:BF139"/>
    <mergeCell ref="A138:B138"/>
    <mergeCell ref="C138:H138"/>
    <mergeCell ref="I138:AI138"/>
    <mergeCell ref="AJ138:AK138"/>
    <mergeCell ref="AL138:AP138"/>
    <mergeCell ref="AQ138:AX138"/>
    <mergeCell ref="BO136:BV136"/>
    <mergeCell ref="A137:B137"/>
    <mergeCell ref="C137:H137"/>
    <mergeCell ref="I137:AI137"/>
    <mergeCell ref="AJ137:AK137"/>
    <mergeCell ref="AL137:AP137"/>
    <mergeCell ref="AQ137:AX137"/>
    <mergeCell ref="AY137:BF137"/>
    <mergeCell ref="BG137:BN137"/>
    <mergeCell ref="BO137:BV137"/>
    <mergeCell ref="BG135:BN135"/>
    <mergeCell ref="BO135:BV135"/>
    <mergeCell ref="A136:B136"/>
    <mergeCell ref="C136:H136"/>
    <mergeCell ref="I136:AI136"/>
    <mergeCell ref="AJ136:AK136"/>
    <mergeCell ref="AL136:AP136"/>
    <mergeCell ref="AQ136:AX136"/>
    <mergeCell ref="AY136:BF136"/>
    <mergeCell ref="BG136:BN136"/>
    <mergeCell ref="AY134:BF134"/>
    <mergeCell ref="BG134:BN134"/>
    <mergeCell ref="BO134:BV134"/>
    <mergeCell ref="A135:B135"/>
    <mergeCell ref="C135:H135"/>
    <mergeCell ref="I135:AI135"/>
    <mergeCell ref="AJ135:AK135"/>
    <mergeCell ref="AL135:AP135"/>
    <mergeCell ref="AQ135:AX135"/>
    <mergeCell ref="AY135:BF135"/>
    <mergeCell ref="A134:B134"/>
    <mergeCell ref="C134:H134"/>
    <mergeCell ref="I134:AI134"/>
    <mergeCell ref="AJ134:AK134"/>
    <mergeCell ref="AL134:AP134"/>
    <mergeCell ref="AQ134:AX134"/>
    <mergeCell ref="BO132:BV132"/>
    <mergeCell ref="A133:B133"/>
    <mergeCell ref="C133:H133"/>
    <mergeCell ref="I133:AI133"/>
    <mergeCell ref="AJ133:AK133"/>
    <mergeCell ref="AL133:AP133"/>
    <mergeCell ref="AQ133:AX133"/>
    <mergeCell ref="AY133:BF133"/>
    <mergeCell ref="BG133:BN133"/>
    <mergeCell ref="BO133:BV133"/>
    <mergeCell ref="BG131:BN131"/>
    <mergeCell ref="BO131:BV131"/>
    <mergeCell ref="A132:B132"/>
    <mergeCell ref="C132:H132"/>
    <mergeCell ref="I132:AI132"/>
    <mergeCell ref="AJ132:AK132"/>
    <mergeCell ref="AL132:AP132"/>
    <mergeCell ref="AQ132:AX132"/>
    <mergeCell ref="AY132:BF132"/>
    <mergeCell ref="BG132:BN132"/>
    <mergeCell ref="AY130:BF130"/>
    <mergeCell ref="BG130:BN130"/>
    <mergeCell ref="BO130:BV130"/>
    <mergeCell ref="A131:B131"/>
    <mergeCell ref="C131:H131"/>
    <mergeCell ref="I131:AI131"/>
    <mergeCell ref="AJ131:AK131"/>
    <mergeCell ref="AL131:AP131"/>
    <mergeCell ref="AQ131:AX131"/>
    <mergeCell ref="AY131:BF131"/>
    <mergeCell ref="A130:B130"/>
    <mergeCell ref="C130:H130"/>
    <mergeCell ref="I130:AI130"/>
    <mergeCell ref="AJ130:AK130"/>
    <mergeCell ref="AL130:AP130"/>
    <mergeCell ref="AQ130:AX130"/>
    <mergeCell ref="BO128:BV128"/>
    <mergeCell ref="A129:B129"/>
    <mergeCell ref="C129:H129"/>
    <mergeCell ref="I129:AI129"/>
    <mergeCell ref="AJ129:AK129"/>
    <mergeCell ref="AL129:AP129"/>
    <mergeCell ref="AQ129:AX129"/>
    <mergeCell ref="AY129:BF129"/>
    <mergeCell ref="BG129:BN129"/>
    <mergeCell ref="BO129:BV129"/>
    <mergeCell ref="BG127:BN127"/>
    <mergeCell ref="BO127:BV127"/>
    <mergeCell ref="A128:B128"/>
    <mergeCell ref="C128:H128"/>
    <mergeCell ref="I128:AI128"/>
    <mergeCell ref="AJ128:AK128"/>
    <mergeCell ref="AL128:AP128"/>
    <mergeCell ref="AQ128:AX128"/>
    <mergeCell ref="AY128:BF128"/>
    <mergeCell ref="BG128:BN128"/>
    <mergeCell ref="AY126:BF126"/>
    <mergeCell ref="BG126:BN126"/>
    <mergeCell ref="BO126:BV126"/>
    <mergeCell ref="A127:B127"/>
    <mergeCell ref="C127:H127"/>
    <mergeCell ref="I127:AI127"/>
    <mergeCell ref="AJ127:AK127"/>
    <mergeCell ref="AL127:AP127"/>
    <mergeCell ref="AQ127:AX127"/>
    <mergeCell ref="AY127:BF127"/>
    <mergeCell ref="A126:B126"/>
    <mergeCell ref="C126:H126"/>
    <mergeCell ref="I126:AI126"/>
    <mergeCell ref="AJ126:AK126"/>
    <mergeCell ref="AL126:AP126"/>
    <mergeCell ref="AQ126:AX126"/>
    <mergeCell ref="BO124:BV124"/>
    <mergeCell ref="A125:B125"/>
    <mergeCell ref="C125:H125"/>
    <mergeCell ref="I125:AI125"/>
    <mergeCell ref="AJ125:AK125"/>
    <mergeCell ref="AL125:AP125"/>
    <mergeCell ref="AQ125:AX125"/>
    <mergeCell ref="AY125:BF125"/>
    <mergeCell ref="BG125:BN125"/>
    <mergeCell ref="BO125:BV125"/>
    <mergeCell ref="BG123:BN123"/>
    <mergeCell ref="BO123:BV123"/>
    <mergeCell ref="A124:B124"/>
    <mergeCell ref="C124:H124"/>
    <mergeCell ref="I124:AI124"/>
    <mergeCell ref="AJ124:AK124"/>
    <mergeCell ref="AL124:AP124"/>
    <mergeCell ref="AQ124:AX124"/>
    <mergeCell ref="AY124:BF124"/>
    <mergeCell ref="BG124:BN124"/>
    <mergeCell ref="AY122:BF122"/>
    <mergeCell ref="BG122:BN122"/>
    <mergeCell ref="BO122:BV122"/>
    <mergeCell ref="A123:B123"/>
    <mergeCell ref="C123:H123"/>
    <mergeCell ref="I123:AI123"/>
    <mergeCell ref="AJ123:AK123"/>
    <mergeCell ref="AL123:AP123"/>
    <mergeCell ref="AQ123:AX123"/>
    <mergeCell ref="AY123:BF123"/>
    <mergeCell ref="A122:B122"/>
    <mergeCell ref="C122:H122"/>
    <mergeCell ref="I122:AI122"/>
    <mergeCell ref="AJ122:AK122"/>
    <mergeCell ref="AL122:AP122"/>
    <mergeCell ref="AQ122:AX122"/>
    <mergeCell ref="BO120:BV120"/>
    <mergeCell ref="A121:B121"/>
    <mergeCell ref="C121:H121"/>
    <mergeCell ref="I121:AI121"/>
    <mergeCell ref="AJ121:AK121"/>
    <mergeCell ref="AL121:AP121"/>
    <mergeCell ref="AQ121:AX121"/>
    <mergeCell ref="AY121:BF121"/>
    <mergeCell ref="BG121:BN121"/>
    <mergeCell ref="BO121:BV121"/>
    <mergeCell ref="BG119:BN119"/>
    <mergeCell ref="BO119:BV119"/>
    <mergeCell ref="A120:B120"/>
    <mergeCell ref="C120:H120"/>
    <mergeCell ref="I120:AI120"/>
    <mergeCell ref="AJ120:AK120"/>
    <mergeCell ref="AL120:AP120"/>
    <mergeCell ref="AQ120:AX120"/>
    <mergeCell ref="AY120:BF120"/>
    <mergeCell ref="BG120:BN120"/>
    <mergeCell ref="AY118:BF118"/>
    <mergeCell ref="BG118:BN118"/>
    <mergeCell ref="BO118:BV118"/>
    <mergeCell ref="A119:B119"/>
    <mergeCell ref="C119:H119"/>
    <mergeCell ref="I119:AI119"/>
    <mergeCell ref="AJ119:AK119"/>
    <mergeCell ref="AL119:AP119"/>
    <mergeCell ref="AQ119:AX119"/>
    <mergeCell ref="AY119:BF119"/>
    <mergeCell ref="A118:B118"/>
    <mergeCell ref="C118:H118"/>
    <mergeCell ref="I118:AI118"/>
    <mergeCell ref="AJ118:AK118"/>
    <mergeCell ref="AL118:AP118"/>
    <mergeCell ref="AQ118:AX118"/>
    <mergeCell ref="BO116:BV116"/>
    <mergeCell ref="A117:B117"/>
    <mergeCell ref="C117:H117"/>
    <mergeCell ref="I117:AI117"/>
    <mergeCell ref="AJ117:AK117"/>
    <mergeCell ref="AL117:AP117"/>
    <mergeCell ref="AQ117:AX117"/>
    <mergeCell ref="AY117:BF117"/>
    <mergeCell ref="BG117:BN117"/>
    <mergeCell ref="BO117:BV117"/>
    <mergeCell ref="BG115:BN115"/>
    <mergeCell ref="BO115:BV115"/>
    <mergeCell ref="A116:B116"/>
    <mergeCell ref="C116:H116"/>
    <mergeCell ref="I116:AI116"/>
    <mergeCell ref="AJ116:AK116"/>
    <mergeCell ref="AL116:AP116"/>
    <mergeCell ref="AQ116:AX116"/>
    <mergeCell ref="AY116:BF116"/>
    <mergeCell ref="BG116:BN116"/>
    <mergeCell ref="AY114:BF114"/>
    <mergeCell ref="BG114:BN114"/>
    <mergeCell ref="BO114:BV114"/>
    <mergeCell ref="A115:B115"/>
    <mergeCell ref="C115:H115"/>
    <mergeCell ref="I115:AI115"/>
    <mergeCell ref="AJ115:AK115"/>
    <mergeCell ref="AL115:AP115"/>
    <mergeCell ref="AQ115:AX115"/>
    <mergeCell ref="AY115:BF115"/>
    <mergeCell ref="A114:B114"/>
    <mergeCell ref="C114:H114"/>
    <mergeCell ref="I114:AI114"/>
    <mergeCell ref="AJ114:AK114"/>
    <mergeCell ref="AL114:AP114"/>
    <mergeCell ref="AQ114:AX114"/>
    <mergeCell ref="BO112:BV112"/>
    <mergeCell ref="A113:B113"/>
    <mergeCell ref="C113:H113"/>
    <mergeCell ref="I113:AI113"/>
    <mergeCell ref="AJ113:AK113"/>
    <mergeCell ref="AL113:AP113"/>
    <mergeCell ref="AQ113:AX113"/>
    <mergeCell ref="AY113:BF113"/>
    <mergeCell ref="BG113:BN113"/>
    <mergeCell ref="BO113:BV113"/>
    <mergeCell ref="BG111:BN111"/>
    <mergeCell ref="BO111:BV111"/>
    <mergeCell ref="A112:B112"/>
    <mergeCell ref="C112:H112"/>
    <mergeCell ref="I112:AI112"/>
    <mergeCell ref="AJ112:AK112"/>
    <mergeCell ref="AL112:AP112"/>
    <mergeCell ref="AQ112:AX112"/>
    <mergeCell ref="AY112:BF112"/>
    <mergeCell ref="BG112:BN112"/>
    <mergeCell ref="AY110:BF110"/>
    <mergeCell ref="BG110:BN110"/>
    <mergeCell ref="BO110:BV110"/>
    <mergeCell ref="A111:B111"/>
    <mergeCell ref="C111:H111"/>
    <mergeCell ref="I111:AI111"/>
    <mergeCell ref="AJ111:AK111"/>
    <mergeCell ref="AL111:AP111"/>
    <mergeCell ref="AQ111:AX111"/>
    <mergeCell ref="AY111:BF111"/>
    <mergeCell ref="A110:B110"/>
    <mergeCell ref="C110:H110"/>
    <mergeCell ref="I110:AI110"/>
    <mergeCell ref="AJ110:AK110"/>
    <mergeCell ref="AL110:AP110"/>
    <mergeCell ref="AQ110:AX110"/>
    <mergeCell ref="BO108:BV108"/>
    <mergeCell ref="A109:B109"/>
    <mergeCell ref="C109:H109"/>
    <mergeCell ref="I109:AI109"/>
    <mergeCell ref="AJ109:AK109"/>
    <mergeCell ref="AL109:AP109"/>
    <mergeCell ref="AQ109:AX109"/>
    <mergeCell ref="AY109:BF109"/>
    <mergeCell ref="BG109:BN109"/>
    <mergeCell ref="BO109:BV109"/>
    <mergeCell ref="BG107:BN107"/>
    <mergeCell ref="BO107:BV107"/>
    <mergeCell ref="A108:B108"/>
    <mergeCell ref="C108:H108"/>
    <mergeCell ref="I108:AI108"/>
    <mergeCell ref="AJ108:AK108"/>
    <mergeCell ref="AL108:AP108"/>
    <mergeCell ref="AQ108:AX108"/>
    <mergeCell ref="AY108:BF108"/>
    <mergeCell ref="BG108:BN108"/>
    <mergeCell ref="AY106:BF106"/>
    <mergeCell ref="BG106:BN106"/>
    <mergeCell ref="BO106:BV106"/>
    <mergeCell ref="A107:B107"/>
    <mergeCell ref="C107:H107"/>
    <mergeCell ref="I107:AI107"/>
    <mergeCell ref="AJ107:AK107"/>
    <mergeCell ref="AL107:AP107"/>
    <mergeCell ref="AQ107:AX107"/>
    <mergeCell ref="AY107:BF107"/>
    <mergeCell ref="A106:B106"/>
    <mergeCell ref="C106:H106"/>
    <mergeCell ref="I106:AI106"/>
    <mergeCell ref="AJ106:AK106"/>
    <mergeCell ref="AL106:AP106"/>
    <mergeCell ref="AQ106:AX106"/>
    <mergeCell ref="BO104:BV104"/>
    <mergeCell ref="A105:B105"/>
    <mergeCell ref="C105:H105"/>
    <mergeCell ref="I105:AI105"/>
    <mergeCell ref="AJ105:AK105"/>
    <mergeCell ref="AL105:AP105"/>
    <mergeCell ref="AQ105:AX105"/>
    <mergeCell ref="AY105:BF105"/>
    <mergeCell ref="BG105:BN105"/>
    <mergeCell ref="BO105:BV105"/>
    <mergeCell ref="BG103:BN103"/>
    <mergeCell ref="BO103:BV103"/>
    <mergeCell ref="A104:B104"/>
    <mergeCell ref="C104:H104"/>
    <mergeCell ref="I104:AI104"/>
    <mergeCell ref="AJ104:AK104"/>
    <mergeCell ref="AL104:AP104"/>
    <mergeCell ref="AQ104:AX104"/>
    <mergeCell ref="AY104:BF104"/>
    <mergeCell ref="BG104:BN104"/>
    <mergeCell ref="AY102:BF102"/>
    <mergeCell ref="BG102:BN102"/>
    <mergeCell ref="BO102:BV102"/>
    <mergeCell ref="A103:B103"/>
    <mergeCell ref="C103:H103"/>
    <mergeCell ref="I103:AI103"/>
    <mergeCell ref="AJ103:AK103"/>
    <mergeCell ref="AL103:AP103"/>
    <mergeCell ref="AQ103:AX103"/>
    <mergeCell ref="AY103:BF103"/>
    <mergeCell ref="A102:B102"/>
    <mergeCell ref="C102:H102"/>
    <mergeCell ref="I102:AI102"/>
    <mergeCell ref="AJ102:AK102"/>
    <mergeCell ref="AL102:AP102"/>
    <mergeCell ref="AQ102:AX102"/>
    <mergeCell ref="BO100:BV100"/>
    <mergeCell ref="A101:B101"/>
    <mergeCell ref="C101:H101"/>
    <mergeCell ref="I101:AI101"/>
    <mergeCell ref="AJ101:AK101"/>
    <mergeCell ref="AL101:AP101"/>
    <mergeCell ref="AQ101:AX101"/>
    <mergeCell ref="AY101:BF101"/>
    <mergeCell ref="BG101:BN101"/>
    <mergeCell ref="BO101:BV101"/>
    <mergeCell ref="BG99:BN99"/>
    <mergeCell ref="BO99:BV99"/>
    <mergeCell ref="A100:B100"/>
    <mergeCell ref="C100:H100"/>
    <mergeCell ref="I100:AI100"/>
    <mergeCell ref="AJ100:AK100"/>
    <mergeCell ref="AL100:AP100"/>
    <mergeCell ref="AQ100:AX100"/>
    <mergeCell ref="AY100:BF100"/>
    <mergeCell ref="BG100:BN100"/>
    <mergeCell ref="AY98:BF98"/>
    <mergeCell ref="BG98:BN98"/>
    <mergeCell ref="BO98:BV98"/>
    <mergeCell ref="A99:B99"/>
    <mergeCell ref="C99:H99"/>
    <mergeCell ref="I99:AI99"/>
    <mergeCell ref="AJ99:AK99"/>
    <mergeCell ref="AL99:AP99"/>
    <mergeCell ref="AQ99:AX99"/>
    <mergeCell ref="AY99:BF99"/>
    <mergeCell ref="A98:B98"/>
    <mergeCell ref="C98:H98"/>
    <mergeCell ref="I98:AI98"/>
    <mergeCell ref="AJ98:AK98"/>
    <mergeCell ref="AL98:AP98"/>
    <mergeCell ref="AQ98:AX98"/>
    <mergeCell ref="BO96:BV96"/>
    <mergeCell ref="A97:B97"/>
    <mergeCell ref="C97:H97"/>
    <mergeCell ref="I97:AI97"/>
    <mergeCell ref="AJ97:AK97"/>
    <mergeCell ref="AL97:AP97"/>
    <mergeCell ref="AQ97:AX97"/>
    <mergeCell ref="AY97:BF97"/>
    <mergeCell ref="BG97:BN97"/>
    <mergeCell ref="BO97:BV97"/>
    <mergeCell ref="BG95:BN95"/>
    <mergeCell ref="BO95:BV95"/>
    <mergeCell ref="A96:B96"/>
    <mergeCell ref="C96:H96"/>
    <mergeCell ref="I96:AI96"/>
    <mergeCell ref="AJ96:AK96"/>
    <mergeCell ref="AL96:AP96"/>
    <mergeCell ref="AQ96:AX96"/>
    <mergeCell ref="AY96:BF96"/>
    <mergeCell ref="BG96:BN96"/>
    <mergeCell ref="AY94:BF94"/>
    <mergeCell ref="BG94:BN94"/>
    <mergeCell ref="BO94:BV94"/>
    <mergeCell ref="A95:B95"/>
    <mergeCell ref="C95:H95"/>
    <mergeCell ref="I95:AI95"/>
    <mergeCell ref="AJ95:AK95"/>
    <mergeCell ref="AL95:AP95"/>
    <mergeCell ref="AQ95:AX95"/>
    <mergeCell ref="AY95:BF95"/>
    <mergeCell ref="A94:B94"/>
    <mergeCell ref="C94:H94"/>
    <mergeCell ref="I94:AI94"/>
    <mergeCell ref="AJ94:AK94"/>
    <mergeCell ref="AL94:AP94"/>
    <mergeCell ref="AQ94:AX94"/>
    <mergeCell ref="BO92:BV92"/>
    <mergeCell ref="A93:B93"/>
    <mergeCell ref="C93:H93"/>
    <mergeCell ref="I93:AI93"/>
    <mergeCell ref="AJ93:AK93"/>
    <mergeCell ref="AL93:AP93"/>
    <mergeCell ref="AQ93:AX93"/>
    <mergeCell ref="AY93:BF93"/>
    <mergeCell ref="BG93:BN93"/>
    <mergeCell ref="BO93:BV93"/>
    <mergeCell ref="BG91:BN91"/>
    <mergeCell ref="BO91:BV91"/>
    <mergeCell ref="A92:B92"/>
    <mergeCell ref="C92:H92"/>
    <mergeCell ref="I92:AI92"/>
    <mergeCell ref="AJ92:AK92"/>
    <mergeCell ref="AL92:AP92"/>
    <mergeCell ref="AQ92:AX92"/>
    <mergeCell ref="AY92:BF92"/>
    <mergeCell ref="BG92:BN92"/>
    <mergeCell ref="AY90:BF90"/>
    <mergeCell ref="BG90:BN90"/>
    <mergeCell ref="BO90:BV90"/>
    <mergeCell ref="A91:B91"/>
    <mergeCell ref="C91:H91"/>
    <mergeCell ref="I91:AI91"/>
    <mergeCell ref="AJ91:AK91"/>
    <mergeCell ref="AL91:AP91"/>
    <mergeCell ref="AQ91:AX91"/>
    <mergeCell ref="AY91:BF91"/>
    <mergeCell ref="A90:B90"/>
    <mergeCell ref="C90:H90"/>
    <mergeCell ref="I90:AI90"/>
    <mergeCell ref="AJ90:AK90"/>
    <mergeCell ref="AL90:AP90"/>
    <mergeCell ref="AQ90:AX90"/>
    <mergeCell ref="BO88:BV88"/>
    <mergeCell ref="A89:B89"/>
    <mergeCell ref="C89:H89"/>
    <mergeCell ref="I89:AI89"/>
    <mergeCell ref="AJ89:AK89"/>
    <mergeCell ref="AL89:AP89"/>
    <mergeCell ref="AQ89:AX89"/>
    <mergeCell ref="AY89:BF89"/>
    <mergeCell ref="BG89:BN89"/>
    <mergeCell ref="BO89:BV89"/>
    <mergeCell ref="BG87:BN87"/>
    <mergeCell ref="BO87:BV87"/>
    <mergeCell ref="A88:B88"/>
    <mergeCell ref="C88:H88"/>
    <mergeCell ref="I88:AI88"/>
    <mergeCell ref="AJ88:AK88"/>
    <mergeCell ref="AL88:AP88"/>
    <mergeCell ref="AQ88:AX88"/>
    <mergeCell ref="AY88:BF88"/>
    <mergeCell ref="BG88:BN88"/>
    <mergeCell ref="AY86:BF86"/>
    <mergeCell ref="BG86:BN86"/>
    <mergeCell ref="BO86:BV86"/>
    <mergeCell ref="A87:B87"/>
    <mergeCell ref="C87:H87"/>
    <mergeCell ref="I87:AI87"/>
    <mergeCell ref="AJ87:AK87"/>
    <mergeCell ref="AL87:AP87"/>
    <mergeCell ref="AQ87:AX87"/>
    <mergeCell ref="AY87:BF87"/>
    <mergeCell ref="A86:B86"/>
    <mergeCell ref="C86:H86"/>
    <mergeCell ref="I86:AI86"/>
    <mergeCell ref="AJ86:AK86"/>
    <mergeCell ref="AL86:AP86"/>
    <mergeCell ref="AQ86:AX86"/>
    <mergeCell ref="BO84:BV84"/>
    <mergeCell ref="A85:B85"/>
    <mergeCell ref="C85:H85"/>
    <mergeCell ref="I85:AI85"/>
    <mergeCell ref="AJ85:AK85"/>
    <mergeCell ref="AL85:AP85"/>
    <mergeCell ref="AQ85:AX85"/>
    <mergeCell ref="AY85:BF85"/>
    <mergeCell ref="BG85:BN85"/>
    <mergeCell ref="BO85:BV85"/>
    <mergeCell ref="BG83:BN83"/>
    <mergeCell ref="BO83:BV83"/>
    <mergeCell ref="A84:B84"/>
    <mergeCell ref="C84:H84"/>
    <mergeCell ref="I84:AI84"/>
    <mergeCell ref="AJ84:AK84"/>
    <mergeCell ref="AL84:AP84"/>
    <mergeCell ref="AQ84:AX84"/>
    <mergeCell ref="AY84:BF84"/>
    <mergeCell ref="BG84:BN84"/>
    <mergeCell ref="AY82:BF82"/>
    <mergeCell ref="BG82:BN82"/>
    <mergeCell ref="BO82:BV82"/>
    <mergeCell ref="A83:B83"/>
    <mergeCell ref="C83:H83"/>
    <mergeCell ref="I83:AI83"/>
    <mergeCell ref="AJ83:AK83"/>
    <mergeCell ref="AL83:AP83"/>
    <mergeCell ref="AQ83:AX83"/>
    <mergeCell ref="AY83:BF83"/>
    <mergeCell ref="A82:B82"/>
    <mergeCell ref="C82:H82"/>
    <mergeCell ref="I82:AI82"/>
    <mergeCell ref="AJ82:AK82"/>
    <mergeCell ref="AL82:AP82"/>
    <mergeCell ref="AQ82:AX82"/>
    <mergeCell ref="BO80:BV80"/>
    <mergeCell ref="A81:B81"/>
    <mergeCell ref="C81:H81"/>
    <mergeCell ref="I81:AI81"/>
    <mergeCell ref="AJ81:AK81"/>
    <mergeCell ref="AL81:AP81"/>
    <mergeCell ref="AQ81:AX81"/>
    <mergeCell ref="AY81:BF81"/>
    <mergeCell ref="BG81:BN81"/>
    <mergeCell ref="BO81:BV81"/>
    <mergeCell ref="BG79:BN79"/>
    <mergeCell ref="BO79:BV79"/>
    <mergeCell ref="A80:B80"/>
    <mergeCell ref="C80:H80"/>
    <mergeCell ref="I80:AI80"/>
    <mergeCell ref="AJ80:AK80"/>
    <mergeCell ref="AL80:AP80"/>
    <mergeCell ref="AQ80:AX80"/>
    <mergeCell ref="AY80:BF80"/>
    <mergeCell ref="BG80:BN80"/>
    <mergeCell ref="AY78:BF78"/>
    <mergeCell ref="BG78:BN78"/>
    <mergeCell ref="BO78:BV78"/>
    <mergeCell ref="A79:B79"/>
    <mergeCell ref="C79:H79"/>
    <mergeCell ref="I79:AI79"/>
    <mergeCell ref="AJ79:AK79"/>
    <mergeCell ref="AL79:AP79"/>
    <mergeCell ref="AQ79:AX79"/>
    <mergeCell ref="AY79:BF79"/>
    <mergeCell ref="A78:B78"/>
    <mergeCell ref="C78:H78"/>
    <mergeCell ref="I78:AI78"/>
    <mergeCell ref="AJ78:AK78"/>
    <mergeCell ref="AL78:AP78"/>
    <mergeCell ref="AQ78:AX78"/>
    <mergeCell ref="BO76:BV76"/>
    <mergeCell ref="A77:B77"/>
    <mergeCell ref="C77:H77"/>
    <mergeCell ref="I77:AI77"/>
    <mergeCell ref="AJ77:AK77"/>
    <mergeCell ref="AL77:AP77"/>
    <mergeCell ref="AQ77:AX77"/>
    <mergeCell ref="AY77:BF77"/>
    <mergeCell ref="BG77:BN77"/>
    <mergeCell ref="BO77:BV77"/>
    <mergeCell ref="BG75:BN75"/>
    <mergeCell ref="BO75:BV75"/>
    <mergeCell ref="A76:B76"/>
    <mergeCell ref="C76:H76"/>
    <mergeCell ref="I76:AI76"/>
    <mergeCell ref="AJ76:AK76"/>
    <mergeCell ref="AL76:AP76"/>
    <mergeCell ref="AQ76:AX76"/>
    <mergeCell ref="AY76:BF76"/>
    <mergeCell ref="BG76:BN76"/>
    <mergeCell ref="AY74:BF74"/>
    <mergeCell ref="BG74:BN74"/>
    <mergeCell ref="BO74:BV74"/>
    <mergeCell ref="A75:B75"/>
    <mergeCell ref="C75:H75"/>
    <mergeCell ref="I75:AI75"/>
    <mergeCell ref="AJ75:AK75"/>
    <mergeCell ref="AL75:AP75"/>
    <mergeCell ref="AQ75:AX75"/>
    <mergeCell ref="AY75:BF75"/>
    <mergeCell ref="A74:B74"/>
    <mergeCell ref="C74:H74"/>
    <mergeCell ref="I74:AI74"/>
    <mergeCell ref="AJ74:AK74"/>
    <mergeCell ref="AL74:AP74"/>
    <mergeCell ref="AQ74:AX74"/>
    <mergeCell ref="BO72:BV72"/>
    <mergeCell ref="A73:B73"/>
    <mergeCell ref="C73:H73"/>
    <mergeCell ref="I73:AI73"/>
    <mergeCell ref="AJ73:AK73"/>
    <mergeCell ref="AL73:AP73"/>
    <mergeCell ref="AQ73:AX73"/>
    <mergeCell ref="AY73:BF73"/>
    <mergeCell ref="BG73:BN73"/>
    <mergeCell ref="BO73:BV73"/>
    <mergeCell ref="BG71:BN71"/>
    <mergeCell ref="BO71:BV71"/>
    <mergeCell ref="A72:B72"/>
    <mergeCell ref="C72:H72"/>
    <mergeCell ref="I72:AI72"/>
    <mergeCell ref="AJ72:AK72"/>
    <mergeCell ref="AL72:AP72"/>
    <mergeCell ref="AQ72:AX72"/>
    <mergeCell ref="AY72:BF72"/>
    <mergeCell ref="BG72:BN72"/>
    <mergeCell ref="AY70:BF70"/>
    <mergeCell ref="BG70:BN70"/>
    <mergeCell ref="BO70:BV70"/>
    <mergeCell ref="A71:B71"/>
    <mergeCell ref="C71:H71"/>
    <mergeCell ref="I71:AI71"/>
    <mergeCell ref="AJ71:AK71"/>
    <mergeCell ref="AL71:AP71"/>
    <mergeCell ref="AQ71:AX71"/>
    <mergeCell ref="AY71:BF71"/>
    <mergeCell ref="A70:B70"/>
    <mergeCell ref="C70:H70"/>
    <mergeCell ref="I70:AI70"/>
    <mergeCell ref="AJ70:AK70"/>
    <mergeCell ref="AL70:AP70"/>
    <mergeCell ref="AQ70:AX70"/>
    <mergeCell ref="BO68:BV68"/>
    <mergeCell ref="A69:B69"/>
    <mergeCell ref="C69:H69"/>
    <mergeCell ref="I69:AI69"/>
    <mergeCell ref="AJ69:AK69"/>
    <mergeCell ref="AL69:AP69"/>
    <mergeCell ref="AQ69:AX69"/>
    <mergeCell ref="AY69:BF69"/>
    <mergeCell ref="BG69:BN69"/>
    <mergeCell ref="BO69:BV69"/>
    <mergeCell ref="BG67:BN67"/>
    <mergeCell ref="BO67:BV67"/>
    <mergeCell ref="A68:B68"/>
    <mergeCell ref="C68:H68"/>
    <mergeCell ref="I68:AI68"/>
    <mergeCell ref="AJ68:AK68"/>
    <mergeCell ref="AL68:AP68"/>
    <mergeCell ref="AQ68:AX68"/>
    <mergeCell ref="AY68:BF68"/>
    <mergeCell ref="BG68:BN68"/>
    <mergeCell ref="AY66:BF66"/>
    <mergeCell ref="BG66:BN66"/>
    <mergeCell ref="BO66:BV66"/>
    <mergeCell ref="A67:B67"/>
    <mergeCell ref="C67:H67"/>
    <mergeCell ref="I67:AI67"/>
    <mergeCell ref="AJ67:AK67"/>
    <mergeCell ref="AL67:AP67"/>
    <mergeCell ref="AQ67:AX67"/>
    <mergeCell ref="AY67:BF67"/>
    <mergeCell ref="A66:B66"/>
    <mergeCell ref="C66:H66"/>
    <mergeCell ref="I66:AI66"/>
    <mergeCell ref="AJ66:AK66"/>
    <mergeCell ref="AL66:AP66"/>
    <mergeCell ref="AQ66:AX66"/>
    <mergeCell ref="BO64:BV64"/>
    <mergeCell ref="A65:B65"/>
    <mergeCell ref="C65:H65"/>
    <mergeCell ref="I65:AI65"/>
    <mergeCell ref="AJ65:AK65"/>
    <mergeCell ref="AL65:AP65"/>
    <mergeCell ref="AQ65:AX65"/>
    <mergeCell ref="AY65:BF65"/>
    <mergeCell ref="BG65:BN65"/>
    <mergeCell ref="BO65:BV65"/>
    <mergeCell ref="BG63:BN63"/>
    <mergeCell ref="BO63:BV63"/>
    <mergeCell ref="A64:B64"/>
    <mergeCell ref="C64:H64"/>
    <mergeCell ref="I64:AI64"/>
    <mergeCell ref="AJ64:AK64"/>
    <mergeCell ref="AL64:AP64"/>
    <mergeCell ref="AQ64:AX64"/>
    <mergeCell ref="AY64:BF64"/>
    <mergeCell ref="BG64:BN64"/>
    <mergeCell ref="AY62:BF62"/>
    <mergeCell ref="BG62:BN62"/>
    <mergeCell ref="BO62:BV62"/>
    <mergeCell ref="A63:B63"/>
    <mergeCell ref="C63:H63"/>
    <mergeCell ref="I63:AI63"/>
    <mergeCell ref="AJ63:AK63"/>
    <mergeCell ref="AL63:AP63"/>
    <mergeCell ref="AQ63:AX63"/>
    <mergeCell ref="AY63:BF63"/>
    <mergeCell ref="A62:B62"/>
    <mergeCell ref="C62:H62"/>
    <mergeCell ref="I62:AI62"/>
    <mergeCell ref="AJ62:AK62"/>
    <mergeCell ref="AL62:AP62"/>
    <mergeCell ref="AQ62:AX62"/>
    <mergeCell ref="BO60:BV60"/>
    <mergeCell ref="A61:B61"/>
    <mergeCell ref="C61:H61"/>
    <mergeCell ref="I61:AI61"/>
    <mergeCell ref="AJ61:AK61"/>
    <mergeCell ref="AL61:AP61"/>
    <mergeCell ref="AQ61:AX61"/>
    <mergeCell ref="AY61:BF61"/>
    <mergeCell ref="BG61:BN61"/>
    <mergeCell ref="BO61:BV61"/>
    <mergeCell ref="BG59:BN59"/>
    <mergeCell ref="BO59:BV59"/>
    <mergeCell ref="A60:B60"/>
    <mergeCell ref="C60:H60"/>
    <mergeCell ref="I60:AI60"/>
    <mergeCell ref="AJ60:AK60"/>
    <mergeCell ref="AL60:AP60"/>
    <mergeCell ref="AQ60:AX60"/>
    <mergeCell ref="AY60:BF60"/>
    <mergeCell ref="BG60:BN60"/>
    <mergeCell ref="AY58:BF58"/>
    <mergeCell ref="BG58:BN58"/>
    <mergeCell ref="BO58:BV58"/>
    <mergeCell ref="A59:B59"/>
    <mergeCell ref="C59:H59"/>
    <mergeCell ref="I59:AI59"/>
    <mergeCell ref="AJ59:AK59"/>
    <mergeCell ref="AL59:AP59"/>
    <mergeCell ref="AQ59:AX59"/>
    <mergeCell ref="AY59:BF59"/>
    <mergeCell ref="A58:B58"/>
    <mergeCell ref="C58:H58"/>
    <mergeCell ref="I58:AI58"/>
    <mergeCell ref="AJ58:AK58"/>
    <mergeCell ref="AL58:AP58"/>
    <mergeCell ref="AQ58:AX58"/>
    <mergeCell ref="BO56:BV56"/>
    <mergeCell ref="A57:B57"/>
    <mergeCell ref="C57:H57"/>
    <mergeCell ref="I57:AI57"/>
    <mergeCell ref="AJ57:AK57"/>
    <mergeCell ref="AL57:AP57"/>
    <mergeCell ref="AQ57:AX57"/>
    <mergeCell ref="AY57:BF57"/>
    <mergeCell ref="BG57:BN57"/>
    <mergeCell ref="BO57:BV57"/>
    <mergeCell ref="BG55:BN55"/>
    <mergeCell ref="BO55:BV55"/>
    <mergeCell ref="A56:B56"/>
    <mergeCell ref="C56:H56"/>
    <mergeCell ref="I56:AI56"/>
    <mergeCell ref="AJ56:AK56"/>
    <mergeCell ref="AL56:AP56"/>
    <mergeCell ref="AQ56:AX56"/>
    <mergeCell ref="AY56:BF56"/>
    <mergeCell ref="BG56:BN56"/>
    <mergeCell ref="AY54:BF54"/>
    <mergeCell ref="BG54:BN54"/>
    <mergeCell ref="BO54:BV54"/>
    <mergeCell ref="A55:B55"/>
    <mergeCell ref="C55:H55"/>
    <mergeCell ref="I55:AI55"/>
    <mergeCell ref="AJ55:AK55"/>
    <mergeCell ref="AL55:AP55"/>
    <mergeCell ref="AQ55:AX55"/>
    <mergeCell ref="AY55:BF55"/>
    <mergeCell ref="A54:B54"/>
    <mergeCell ref="C54:H54"/>
    <mergeCell ref="I54:AI54"/>
    <mergeCell ref="AJ54:AK54"/>
    <mergeCell ref="AL54:AP54"/>
    <mergeCell ref="AQ54:AX54"/>
    <mergeCell ref="BO52:BV52"/>
    <mergeCell ref="A53:B53"/>
    <mergeCell ref="C53:H53"/>
    <mergeCell ref="I53:AI53"/>
    <mergeCell ref="AJ53:AK53"/>
    <mergeCell ref="AL53:AP53"/>
    <mergeCell ref="AQ53:AX53"/>
    <mergeCell ref="AY53:BF53"/>
    <mergeCell ref="BG53:BN53"/>
    <mergeCell ref="BO53:BV53"/>
    <mergeCell ref="BG51:BN51"/>
    <mergeCell ref="BO51:BV51"/>
    <mergeCell ref="A52:B52"/>
    <mergeCell ref="C52:H52"/>
    <mergeCell ref="I52:AI52"/>
    <mergeCell ref="AJ52:AK52"/>
    <mergeCell ref="AL52:AP52"/>
    <mergeCell ref="AQ52:AX52"/>
    <mergeCell ref="AY52:BF52"/>
    <mergeCell ref="BG52:BN52"/>
    <mergeCell ref="AY50:BF50"/>
    <mergeCell ref="BG50:BN50"/>
    <mergeCell ref="BO50:BV50"/>
    <mergeCell ref="A51:B51"/>
    <mergeCell ref="C51:H51"/>
    <mergeCell ref="I51:AI51"/>
    <mergeCell ref="AJ51:AK51"/>
    <mergeCell ref="AL51:AP51"/>
    <mergeCell ref="AQ51:AX51"/>
    <mergeCell ref="AY51:BF51"/>
    <mergeCell ref="A50:B50"/>
    <mergeCell ref="C50:H50"/>
    <mergeCell ref="I50:AI50"/>
    <mergeCell ref="AJ50:AK50"/>
    <mergeCell ref="AL50:AP50"/>
    <mergeCell ref="AQ50:AX50"/>
    <mergeCell ref="BO48:BV48"/>
    <mergeCell ref="A49:B49"/>
    <mergeCell ref="C49:H49"/>
    <mergeCell ref="I49:AI49"/>
    <mergeCell ref="AJ49:AK49"/>
    <mergeCell ref="AL49:AP49"/>
    <mergeCell ref="AQ49:AX49"/>
    <mergeCell ref="AY49:BF49"/>
    <mergeCell ref="BG49:BN49"/>
    <mergeCell ref="BO49:BV49"/>
    <mergeCell ref="BG47:BN47"/>
    <mergeCell ref="BO47:BV47"/>
    <mergeCell ref="A48:B48"/>
    <mergeCell ref="C48:H48"/>
    <mergeCell ref="I48:AI48"/>
    <mergeCell ref="AJ48:AK48"/>
    <mergeCell ref="AL48:AP48"/>
    <mergeCell ref="AQ48:AX48"/>
    <mergeCell ref="AY48:BF48"/>
    <mergeCell ref="BG48:BN48"/>
    <mergeCell ref="AY46:BF46"/>
    <mergeCell ref="BG46:BN46"/>
    <mergeCell ref="BO46:BV46"/>
    <mergeCell ref="A47:B47"/>
    <mergeCell ref="C47:H47"/>
    <mergeCell ref="I47:AI47"/>
    <mergeCell ref="AJ47:AK47"/>
    <mergeCell ref="AL47:AP47"/>
    <mergeCell ref="AQ47:AX47"/>
    <mergeCell ref="AY47:BF47"/>
    <mergeCell ref="A46:B46"/>
    <mergeCell ref="C46:H46"/>
    <mergeCell ref="I46:AI46"/>
    <mergeCell ref="AJ46:AK46"/>
    <mergeCell ref="AL46:AP46"/>
    <mergeCell ref="AQ46:AX46"/>
    <mergeCell ref="BO44:BV44"/>
    <mergeCell ref="A45:B45"/>
    <mergeCell ref="C45:H45"/>
    <mergeCell ref="I45:AI45"/>
    <mergeCell ref="AJ45:AK45"/>
    <mergeCell ref="AL45:AP45"/>
    <mergeCell ref="AQ45:AX45"/>
    <mergeCell ref="AY45:BF45"/>
    <mergeCell ref="BG45:BN45"/>
    <mergeCell ref="BO45:BV45"/>
    <mergeCell ref="BG43:BN43"/>
    <mergeCell ref="BO43:BV43"/>
    <mergeCell ref="A44:B44"/>
    <mergeCell ref="C44:H44"/>
    <mergeCell ref="I44:AI44"/>
    <mergeCell ref="AJ44:AK44"/>
    <mergeCell ref="AL44:AP44"/>
    <mergeCell ref="AQ44:AX44"/>
    <mergeCell ref="AY44:BF44"/>
    <mergeCell ref="BG44:BN44"/>
    <mergeCell ref="AY42:BF42"/>
    <mergeCell ref="BG42:BN42"/>
    <mergeCell ref="BO42:BV42"/>
    <mergeCell ref="A43:B43"/>
    <mergeCell ref="C43:H43"/>
    <mergeCell ref="I43:AI43"/>
    <mergeCell ref="AJ43:AK43"/>
    <mergeCell ref="AL43:AP43"/>
    <mergeCell ref="AQ43:AX43"/>
    <mergeCell ref="AY43:BF43"/>
    <mergeCell ref="A42:B42"/>
    <mergeCell ref="C42:H42"/>
    <mergeCell ref="I42:AI42"/>
    <mergeCell ref="AJ42:AK42"/>
    <mergeCell ref="AL42:AP42"/>
    <mergeCell ref="AQ42:AX42"/>
    <mergeCell ref="BO40:BV40"/>
    <mergeCell ref="A41:B41"/>
    <mergeCell ref="C41:H41"/>
    <mergeCell ref="I41:AI41"/>
    <mergeCell ref="AJ41:AK41"/>
    <mergeCell ref="AL41:AP41"/>
    <mergeCell ref="AQ41:AX41"/>
    <mergeCell ref="AY41:BF41"/>
    <mergeCell ref="BG41:BN41"/>
    <mergeCell ref="BO41:BV41"/>
    <mergeCell ref="BG39:BN39"/>
    <mergeCell ref="BO39:BV39"/>
    <mergeCell ref="A40:B40"/>
    <mergeCell ref="C40:H40"/>
    <mergeCell ref="I40:AI40"/>
    <mergeCell ref="AJ40:AK40"/>
    <mergeCell ref="AL40:AP40"/>
    <mergeCell ref="AQ40:AX40"/>
    <mergeCell ref="AY40:BF40"/>
    <mergeCell ref="BG40:BN40"/>
    <mergeCell ref="AY38:BF38"/>
    <mergeCell ref="BG38:BN38"/>
    <mergeCell ref="BO38:BV38"/>
    <mergeCell ref="A39:B39"/>
    <mergeCell ref="C39:H39"/>
    <mergeCell ref="I39:AI39"/>
    <mergeCell ref="AJ39:AK39"/>
    <mergeCell ref="AL39:AP39"/>
    <mergeCell ref="AQ39:AX39"/>
    <mergeCell ref="AY39:BF39"/>
    <mergeCell ref="A38:B38"/>
    <mergeCell ref="C38:H38"/>
    <mergeCell ref="I38:AI38"/>
    <mergeCell ref="AJ38:AK38"/>
    <mergeCell ref="AL38:AP38"/>
    <mergeCell ref="AQ38:AX38"/>
    <mergeCell ref="BO36:BV36"/>
    <mergeCell ref="A37:B37"/>
    <mergeCell ref="C37:H37"/>
    <mergeCell ref="I37:AI37"/>
    <mergeCell ref="AJ37:AK37"/>
    <mergeCell ref="AL37:AP37"/>
    <mergeCell ref="AQ37:AX37"/>
    <mergeCell ref="AY37:BF37"/>
    <mergeCell ref="BG37:BN37"/>
    <mergeCell ref="BO37:BV37"/>
    <mergeCell ref="BG35:BN35"/>
    <mergeCell ref="BO35:BV35"/>
    <mergeCell ref="A36:B36"/>
    <mergeCell ref="C36:H36"/>
    <mergeCell ref="I36:AI36"/>
    <mergeCell ref="AJ36:AK36"/>
    <mergeCell ref="AL36:AP36"/>
    <mergeCell ref="AQ36:AX36"/>
    <mergeCell ref="AY36:BF36"/>
    <mergeCell ref="BG36:BN36"/>
    <mergeCell ref="AY34:BF34"/>
    <mergeCell ref="BG34:BN34"/>
    <mergeCell ref="BO34:BV34"/>
    <mergeCell ref="A35:B35"/>
    <mergeCell ref="C35:H35"/>
    <mergeCell ref="I35:AI35"/>
    <mergeCell ref="AJ35:AK35"/>
    <mergeCell ref="AL35:AP35"/>
    <mergeCell ref="AQ35:AX35"/>
    <mergeCell ref="AY35:BF35"/>
    <mergeCell ref="A34:B34"/>
    <mergeCell ref="C34:H34"/>
    <mergeCell ref="I34:AI34"/>
    <mergeCell ref="AJ34:AK34"/>
    <mergeCell ref="AL34:AP34"/>
    <mergeCell ref="AQ34:AX34"/>
    <mergeCell ref="BO32:BV32"/>
    <mergeCell ref="A33:B33"/>
    <mergeCell ref="C33:H33"/>
    <mergeCell ref="I33:AI33"/>
    <mergeCell ref="AJ33:AK33"/>
    <mergeCell ref="AL33:AP33"/>
    <mergeCell ref="AQ33:AX33"/>
    <mergeCell ref="AY33:BF33"/>
    <mergeCell ref="BG33:BN33"/>
    <mergeCell ref="BO33:BV33"/>
    <mergeCell ref="BG31:BN31"/>
    <mergeCell ref="BO31:BV31"/>
    <mergeCell ref="A32:B32"/>
    <mergeCell ref="C32:H32"/>
    <mergeCell ref="I32:AI32"/>
    <mergeCell ref="AJ32:AK32"/>
    <mergeCell ref="AL32:AP32"/>
    <mergeCell ref="AQ32:AX32"/>
    <mergeCell ref="AY32:BF32"/>
    <mergeCell ref="BG32:BN32"/>
    <mergeCell ref="AY30:BF30"/>
    <mergeCell ref="BG30:BN30"/>
    <mergeCell ref="BO30:BV30"/>
    <mergeCell ref="A31:B31"/>
    <mergeCell ref="C31:H31"/>
    <mergeCell ref="I31:AI31"/>
    <mergeCell ref="AJ31:AK31"/>
    <mergeCell ref="AL31:AP31"/>
    <mergeCell ref="AQ31:AX31"/>
    <mergeCell ref="AY31:BF31"/>
    <mergeCell ref="A30:B30"/>
    <mergeCell ref="C30:H30"/>
    <mergeCell ref="I30:AI30"/>
    <mergeCell ref="AJ30:AK30"/>
    <mergeCell ref="AL30:AP30"/>
    <mergeCell ref="AQ30:AX30"/>
    <mergeCell ref="BO28:BV28"/>
    <mergeCell ref="A29:B29"/>
    <mergeCell ref="C29:H29"/>
    <mergeCell ref="I29:AI29"/>
    <mergeCell ref="AJ29:AK29"/>
    <mergeCell ref="AL29:AP29"/>
    <mergeCell ref="AQ29:AX29"/>
    <mergeCell ref="AY29:BF29"/>
    <mergeCell ref="BG29:BN29"/>
    <mergeCell ref="BO29:BV29"/>
    <mergeCell ref="BG27:BN27"/>
    <mergeCell ref="BO27:BV27"/>
    <mergeCell ref="A28:B28"/>
    <mergeCell ref="C28:H28"/>
    <mergeCell ref="I28:AI28"/>
    <mergeCell ref="AJ28:AK28"/>
    <mergeCell ref="AL28:AP28"/>
    <mergeCell ref="AQ28:AX28"/>
    <mergeCell ref="AY28:BF28"/>
    <mergeCell ref="BG28:BN28"/>
    <mergeCell ref="AY26:BF26"/>
    <mergeCell ref="BG26:BN26"/>
    <mergeCell ref="BO26:BV26"/>
    <mergeCell ref="A27:B27"/>
    <mergeCell ref="C27:H27"/>
    <mergeCell ref="I27:AI27"/>
    <mergeCell ref="AJ27:AK27"/>
    <mergeCell ref="AL27:AP27"/>
    <mergeCell ref="AQ27:AX27"/>
    <mergeCell ref="AY27:BF27"/>
    <mergeCell ref="A26:B26"/>
    <mergeCell ref="C26:H26"/>
    <mergeCell ref="I26:AI26"/>
    <mergeCell ref="AJ26:AK26"/>
    <mergeCell ref="AL26:AP26"/>
    <mergeCell ref="AQ26:AX26"/>
    <mergeCell ref="BO24:BV24"/>
    <mergeCell ref="A25:B25"/>
    <mergeCell ref="C25:H25"/>
    <mergeCell ref="I25:AI25"/>
    <mergeCell ref="AJ25:AK25"/>
    <mergeCell ref="AL25:AP25"/>
    <mergeCell ref="AQ25:AX25"/>
    <mergeCell ref="AY25:BF25"/>
    <mergeCell ref="BG25:BN25"/>
    <mergeCell ref="BO25:BV25"/>
    <mergeCell ref="BG23:BN23"/>
    <mergeCell ref="BO23:BV23"/>
    <mergeCell ref="A24:B24"/>
    <mergeCell ref="C24:H24"/>
    <mergeCell ref="I24:AI24"/>
    <mergeCell ref="AJ24:AK24"/>
    <mergeCell ref="AL24:AP24"/>
    <mergeCell ref="AQ24:AX24"/>
    <mergeCell ref="AY24:BF24"/>
    <mergeCell ref="BG24:BN24"/>
    <mergeCell ref="AY22:BF22"/>
    <mergeCell ref="BG22:BN22"/>
    <mergeCell ref="BO22:BV22"/>
    <mergeCell ref="A23:B23"/>
    <mergeCell ref="C23:H23"/>
    <mergeCell ref="I23:AI23"/>
    <mergeCell ref="AJ23:AK23"/>
    <mergeCell ref="AL23:AP23"/>
    <mergeCell ref="AQ23:AX23"/>
    <mergeCell ref="AY23:BF23"/>
    <mergeCell ref="A22:B22"/>
    <mergeCell ref="C22:H22"/>
    <mergeCell ref="I22:AI22"/>
    <mergeCell ref="AJ22:AK22"/>
    <mergeCell ref="AL22:AP22"/>
    <mergeCell ref="AQ22:AX22"/>
    <mergeCell ref="BO20:BV20"/>
    <mergeCell ref="A21:B21"/>
    <mergeCell ref="C21:H21"/>
    <mergeCell ref="I21:AI21"/>
    <mergeCell ref="AJ21:AK21"/>
    <mergeCell ref="AL21:AP21"/>
    <mergeCell ref="AQ21:AX21"/>
    <mergeCell ref="AY21:BF21"/>
    <mergeCell ref="BG21:BN21"/>
    <mergeCell ref="BO21:BV21"/>
    <mergeCell ref="BG19:BN19"/>
    <mergeCell ref="BO19:BV19"/>
    <mergeCell ref="A20:B20"/>
    <mergeCell ref="C20:H20"/>
    <mergeCell ref="I20:AI20"/>
    <mergeCell ref="AJ20:AK20"/>
    <mergeCell ref="AL20:AP20"/>
    <mergeCell ref="AQ20:AX20"/>
    <mergeCell ref="AY20:BF20"/>
    <mergeCell ref="BG20:BN20"/>
    <mergeCell ref="AY18:BF18"/>
    <mergeCell ref="BG18:BN18"/>
    <mergeCell ref="BO18:BV18"/>
    <mergeCell ref="A19:B19"/>
    <mergeCell ref="C19:H19"/>
    <mergeCell ref="I19:AI19"/>
    <mergeCell ref="AJ19:AK19"/>
    <mergeCell ref="AL19:AP19"/>
    <mergeCell ref="AQ19:AX19"/>
    <mergeCell ref="AY19:BF19"/>
    <mergeCell ref="A18:B18"/>
    <mergeCell ref="C18:H18"/>
    <mergeCell ref="I18:AI18"/>
    <mergeCell ref="AJ18:AK18"/>
    <mergeCell ref="AL18:AP18"/>
    <mergeCell ref="AQ18:AX18"/>
    <mergeCell ref="BO16:BV16"/>
    <mergeCell ref="A17:B17"/>
    <mergeCell ref="C17:H17"/>
    <mergeCell ref="I17:AI17"/>
    <mergeCell ref="AJ17:AK17"/>
    <mergeCell ref="AL17:AP17"/>
    <mergeCell ref="AQ17:AX17"/>
    <mergeCell ref="AY17:BF17"/>
    <mergeCell ref="BG17:BN17"/>
    <mergeCell ref="BO17:BV17"/>
    <mergeCell ref="BG15:BN15"/>
    <mergeCell ref="BO15:BV15"/>
    <mergeCell ref="A16:B16"/>
    <mergeCell ref="C16:H16"/>
    <mergeCell ref="I16:AI16"/>
    <mergeCell ref="AJ16:AK16"/>
    <mergeCell ref="AL16:AP16"/>
    <mergeCell ref="AQ16:AX16"/>
    <mergeCell ref="AY16:BF16"/>
    <mergeCell ref="BG16:BN16"/>
    <mergeCell ref="AY14:BF14"/>
    <mergeCell ref="BG14:BN14"/>
    <mergeCell ref="BO14:BV14"/>
    <mergeCell ref="A15:B15"/>
    <mergeCell ref="C15:H15"/>
    <mergeCell ref="I15:AI15"/>
    <mergeCell ref="AJ15:AK15"/>
    <mergeCell ref="AL15:AP15"/>
    <mergeCell ref="AQ15:AX15"/>
    <mergeCell ref="AY15:BF15"/>
    <mergeCell ref="A14:B14"/>
    <mergeCell ref="C14:H14"/>
    <mergeCell ref="I14:AI14"/>
    <mergeCell ref="AJ14:AK14"/>
    <mergeCell ref="AL14:AP14"/>
    <mergeCell ref="AQ14:AX14"/>
    <mergeCell ref="BO12:BV12"/>
    <mergeCell ref="A13:B13"/>
    <mergeCell ref="C13:H13"/>
    <mergeCell ref="I13:AI13"/>
    <mergeCell ref="AJ13:AK13"/>
    <mergeCell ref="AL13:AP13"/>
    <mergeCell ref="AQ13:AX13"/>
    <mergeCell ref="AY13:BF13"/>
    <mergeCell ref="BG13:BN13"/>
    <mergeCell ref="BO13:BV13"/>
    <mergeCell ref="BG11:BN11"/>
    <mergeCell ref="BO11:BV11"/>
    <mergeCell ref="A12:B12"/>
    <mergeCell ref="C12:H12"/>
    <mergeCell ref="I12:AI12"/>
    <mergeCell ref="AJ12:AK12"/>
    <mergeCell ref="AL12:AP12"/>
    <mergeCell ref="AQ12:AX12"/>
    <mergeCell ref="AY12:BF12"/>
    <mergeCell ref="BG12:BN12"/>
    <mergeCell ref="AY10:BF10"/>
    <mergeCell ref="BG10:BN10"/>
    <mergeCell ref="BO10:BV10"/>
    <mergeCell ref="A11:B11"/>
    <mergeCell ref="C11:H11"/>
    <mergeCell ref="I11:AI11"/>
    <mergeCell ref="AJ11:AK11"/>
    <mergeCell ref="AL11:AP11"/>
    <mergeCell ref="AQ11:AX11"/>
    <mergeCell ref="AY11:BF11"/>
    <mergeCell ref="A10:B10"/>
    <mergeCell ref="C10:H10"/>
    <mergeCell ref="I10:AI10"/>
    <mergeCell ref="AJ10:AK10"/>
    <mergeCell ref="AL10:AP10"/>
    <mergeCell ref="AQ10:AX10"/>
    <mergeCell ref="A8:E9"/>
    <mergeCell ref="F8:AI9"/>
    <mergeCell ref="AJ8:AP9"/>
    <mergeCell ref="AQ8:AV9"/>
    <mergeCell ref="AW8:BC9"/>
    <mergeCell ref="BD8:BV9"/>
    <mergeCell ref="A6:E7"/>
    <mergeCell ref="F6:AI7"/>
    <mergeCell ref="AJ6:AP7"/>
    <mergeCell ref="AQ6:AV7"/>
    <mergeCell ref="AW6:BC7"/>
    <mergeCell ref="BD6:BV7"/>
    <mergeCell ref="A4:E5"/>
    <mergeCell ref="F4:AI5"/>
    <mergeCell ref="AJ4:AP5"/>
    <mergeCell ref="AQ4:AV5"/>
    <mergeCell ref="AW4:BC5"/>
    <mergeCell ref="BD4:BV5"/>
    <mergeCell ref="A1:BV1"/>
    <mergeCell ref="A2:E3"/>
    <mergeCell ref="F2:AI3"/>
    <mergeCell ref="AJ2:AP3"/>
    <mergeCell ref="AQ2:AV3"/>
    <mergeCell ref="AW2:BC3"/>
    <mergeCell ref="BD2:BV3"/>
  </mergeCells>
  <printOptions/>
  <pageMargins left="0.394" right="0.394" top="0.591" bottom="0.591" header="0.5" footer="0.5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7">
      <selection activeCell="F16" sqref="F16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57"/>
      <c r="B1" s="43"/>
      <c r="C1" s="117" t="s">
        <v>553</v>
      </c>
      <c r="D1" s="62"/>
      <c r="E1" s="62"/>
      <c r="F1" s="62"/>
      <c r="G1" s="62"/>
      <c r="H1" s="62"/>
      <c r="I1" s="62"/>
    </row>
    <row r="2" spans="1:10" ht="12.75">
      <c r="A2" s="63" t="s">
        <v>1</v>
      </c>
      <c r="B2" s="64"/>
      <c r="C2" s="67" t="str">
        <f>'Stavební rozpočet'!D2</f>
        <v>Rekonstrukce rozvodů horkovodů, PST, vodovodu</v>
      </c>
      <c r="D2" s="81"/>
      <c r="E2" s="70" t="s">
        <v>454</v>
      </c>
      <c r="F2" s="70" t="str">
        <f>'Stavební rozpočet'!I2</f>
        <v>Západočeská univerzita</v>
      </c>
      <c r="G2" s="64"/>
      <c r="H2" s="70" t="s">
        <v>579</v>
      </c>
      <c r="I2" s="118"/>
      <c r="J2" s="32"/>
    </row>
    <row r="3" spans="1:10" ht="12.75">
      <c r="A3" s="65"/>
      <c r="B3" s="66"/>
      <c r="C3" s="68"/>
      <c r="D3" s="68"/>
      <c r="E3" s="66"/>
      <c r="F3" s="66"/>
      <c r="G3" s="66"/>
      <c r="H3" s="66"/>
      <c r="I3" s="72"/>
      <c r="J3" s="32"/>
    </row>
    <row r="4" spans="1:10" ht="12.75">
      <c r="A4" s="73" t="s">
        <v>2</v>
      </c>
      <c r="B4" s="66"/>
      <c r="C4" s="74" t="str">
        <f>'Stavební rozpočet'!D4</f>
        <v>Rekonstrukce</v>
      </c>
      <c r="D4" s="66"/>
      <c r="E4" s="74" t="s">
        <v>455</v>
      </c>
      <c r="F4" s="74" t="str">
        <f>'Stavební rozpočet'!I4</f>
        <v>Ing. Jan Jelínek</v>
      </c>
      <c r="G4" s="66"/>
      <c r="H4" s="74" t="s">
        <v>579</v>
      </c>
      <c r="I4" s="119"/>
      <c r="J4" s="32"/>
    </row>
    <row r="5" spans="1:10" ht="12.75">
      <c r="A5" s="65"/>
      <c r="B5" s="66"/>
      <c r="C5" s="66"/>
      <c r="D5" s="66"/>
      <c r="E5" s="66"/>
      <c r="F5" s="66"/>
      <c r="G5" s="66"/>
      <c r="H5" s="66"/>
      <c r="I5" s="72"/>
      <c r="J5" s="32"/>
    </row>
    <row r="6" spans="1:10" ht="12.75">
      <c r="A6" s="73" t="s">
        <v>3</v>
      </c>
      <c r="B6" s="66"/>
      <c r="C6" s="74" t="str">
        <f>'Stavební rozpočet'!D6</f>
        <v>Plzeň</v>
      </c>
      <c r="D6" s="66"/>
      <c r="E6" s="74" t="s">
        <v>456</v>
      </c>
      <c r="F6" s="74"/>
      <c r="G6" s="66"/>
      <c r="H6" s="74" t="s">
        <v>579</v>
      </c>
      <c r="I6" s="119"/>
      <c r="J6" s="32"/>
    </row>
    <row r="7" spans="1:10" ht="12.75">
      <c r="A7" s="65"/>
      <c r="B7" s="66"/>
      <c r="C7" s="66"/>
      <c r="D7" s="66"/>
      <c r="E7" s="66"/>
      <c r="F7" s="66"/>
      <c r="G7" s="66"/>
      <c r="H7" s="66"/>
      <c r="I7" s="72"/>
      <c r="J7" s="32"/>
    </row>
    <row r="8" spans="1:10" ht="12.75">
      <c r="A8" s="73" t="s">
        <v>435</v>
      </c>
      <c r="B8" s="66"/>
      <c r="C8" s="74" t="str">
        <f>'Stavební rozpočet'!G4</f>
        <v> </v>
      </c>
      <c r="D8" s="66"/>
      <c r="E8" s="74" t="s">
        <v>436</v>
      </c>
      <c r="F8" s="74" t="str">
        <f>'Stavební rozpočet'!G6</f>
        <v> </v>
      </c>
      <c r="G8" s="66"/>
      <c r="H8" s="75" t="s">
        <v>580</v>
      </c>
      <c r="I8" s="119" t="s">
        <v>122</v>
      </c>
      <c r="J8" s="32"/>
    </row>
    <row r="9" spans="1:10" ht="12.75">
      <c r="A9" s="65"/>
      <c r="B9" s="66"/>
      <c r="C9" s="66"/>
      <c r="D9" s="66"/>
      <c r="E9" s="66"/>
      <c r="F9" s="66"/>
      <c r="G9" s="66"/>
      <c r="H9" s="66"/>
      <c r="I9" s="72"/>
      <c r="J9" s="32"/>
    </row>
    <row r="10" spans="1:10" ht="12.75">
      <c r="A10" s="73" t="s">
        <v>4</v>
      </c>
      <c r="B10" s="66"/>
      <c r="C10" s="74"/>
      <c r="D10" s="66"/>
      <c r="E10" s="74" t="s">
        <v>457</v>
      </c>
      <c r="F10" s="74" t="str">
        <f>'Stavební rozpočet'!I8</f>
        <v>Ing. Jan Jelínek</v>
      </c>
      <c r="G10" s="66"/>
      <c r="H10" s="75" t="s">
        <v>581</v>
      </c>
      <c r="I10" s="120" t="str">
        <f>'Stavební rozpočet'!G8</f>
        <v>04.06.2019</v>
      </c>
      <c r="J10" s="32"/>
    </row>
    <row r="11" spans="1:10" ht="12.75">
      <c r="A11" s="85"/>
      <c r="B11" s="86"/>
      <c r="C11" s="86"/>
      <c r="D11" s="86"/>
      <c r="E11" s="86"/>
      <c r="F11" s="86"/>
      <c r="G11" s="86"/>
      <c r="H11" s="86"/>
      <c r="I11" s="87"/>
      <c r="J11" s="32"/>
    </row>
    <row r="12" spans="1:9" ht="23.25" customHeight="1">
      <c r="A12" s="121" t="s">
        <v>539</v>
      </c>
      <c r="B12" s="122"/>
      <c r="C12" s="122"/>
      <c r="D12" s="122"/>
      <c r="E12" s="122"/>
      <c r="F12" s="122"/>
      <c r="G12" s="122"/>
      <c r="H12" s="122"/>
      <c r="I12" s="122"/>
    </row>
    <row r="13" spans="1:10" ht="26.25" customHeight="1">
      <c r="A13" s="44" t="s">
        <v>540</v>
      </c>
      <c r="B13" s="123" t="s">
        <v>551</v>
      </c>
      <c r="C13" s="124"/>
      <c r="D13" s="44" t="s">
        <v>554</v>
      </c>
      <c r="E13" s="123" t="s">
        <v>564</v>
      </c>
      <c r="F13" s="124"/>
      <c r="G13" s="44" t="s">
        <v>565</v>
      </c>
      <c r="H13" s="123" t="s">
        <v>582</v>
      </c>
      <c r="I13" s="124"/>
      <c r="J13" s="32"/>
    </row>
    <row r="14" spans="1:10" ht="15" customHeight="1">
      <c r="A14" s="45" t="s">
        <v>541</v>
      </c>
      <c r="B14" s="48" t="s">
        <v>552</v>
      </c>
      <c r="C14" s="51">
        <f>SUM('Stavební rozpočet'!AB12:AB208)</f>
        <v>0</v>
      </c>
      <c r="D14" s="125" t="s">
        <v>555</v>
      </c>
      <c r="E14" s="126"/>
      <c r="F14" s="51">
        <v>0</v>
      </c>
      <c r="G14" s="125" t="s">
        <v>566</v>
      </c>
      <c r="H14" s="126"/>
      <c r="I14" s="51">
        <f>ROUND(C22*(3.5/100),2)</f>
        <v>0</v>
      </c>
      <c r="J14" s="32"/>
    </row>
    <row r="15" spans="1:10" ht="15" customHeight="1">
      <c r="A15" s="46"/>
      <c r="B15" s="48" t="s">
        <v>463</v>
      </c>
      <c r="C15" s="51">
        <f>SUM('Stavební rozpočet'!AC12:AC208)</f>
        <v>0</v>
      </c>
      <c r="D15" s="125" t="s">
        <v>556</v>
      </c>
      <c r="E15" s="126"/>
      <c r="F15" s="51">
        <f>ROUND(C22*(1.5/100),2)</f>
        <v>0</v>
      </c>
      <c r="G15" s="125" t="s">
        <v>567</v>
      </c>
      <c r="H15" s="126"/>
      <c r="I15" s="51">
        <v>0</v>
      </c>
      <c r="J15" s="32"/>
    </row>
    <row r="16" spans="1:10" ht="15" customHeight="1">
      <c r="A16" s="45" t="s">
        <v>542</v>
      </c>
      <c r="B16" s="48" t="s">
        <v>552</v>
      </c>
      <c r="C16" s="51">
        <f>SUM('Stavební rozpočet'!AD12:AD208)</f>
        <v>0</v>
      </c>
      <c r="D16" s="125" t="s">
        <v>557</v>
      </c>
      <c r="E16" s="126"/>
      <c r="F16" s="51">
        <f>ROUND(C22*(1/100),2)</f>
        <v>0</v>
      </c>
      <c r="G16" s="125" t="s">
        <v>568</v>
      </c>
      <c r="H16" s="126"/>
      <c r="I16" s="51">
        <v>0</v>
      </c>
      <c r="J16" s="32"/>
    </row>
    <row r="17" spans="1:10" ht="15" customHeight="1">
      <c r="A17" s="46"/>
      <c r="B17" s="48" t="s">
        <v>463</v>
      </c>
      <c r="C17" s="51">
        <f>SUM('Stavební rozpočet'!AE12:AE208)</f>
        <v>0</v>
      </c>
      <c r="D17" s="125" t="s">
        <v>558</v>
      </c>
      <c r="E17" s="126"/>
      <c r="F17" s="51">
        <f>ROUND(C22*(1.5/100),2)</f>
        <v>0</v>
      </c>
      <c r="G17" s="125" t="s">
        <v>569</v>
      </c>
      <c r="H17" s="126"/>
      <c r="I17" s="51">
        <v>0</v>
      </c>
      <c r="J17" s="32"/>
    </row>
    <row r="18" spans="1:10" ht="15" customHeight="1">
      <c r="A18" s="45" t="s">
        <v>543</v>
      </c>
      <c r="B18" s="48" t="s">
        <v>552</v>
      </c>
      <c r="C18" s="51">
        <f>SUM('Stavební rozpočet'!AF12:AF208)</f>
        <v>0</v>
      </c>
      <c r="D18" s="125"/>
      <c r="E18" s="126"/>
      <c r="F18" s="52"/>
      <c r="G18" s="125" t="s">
        <v>570</v>
      </c>
      <c r="H18" s="126"/>
      <c r="I18" s="51">
        <v>0</v>
      </c>
      <c r="J18" s="32"/>
    </row>
    <row r="19" spans="1:10" ht="15" customHeight="1">
      <c r="A19" s="46"/>
      <c r="B19" s="48" t="s">
        <v>463</v>
      </c>
      <c r="C19" s="51">
        <f>SUM('Stavební rozpočet'!AG12:AG208)</f>
        <v>0</v>
      </c>
      <c r="D19" s="125"/>
      <c r="E19" s="126"/>
      <c r="F19" s="52"/>
      <c r="G19" s="125" t="s">
        <v>571</v>
      </c>
      <c r="H19" s="126"/>
      <c r="I19" s="51">
        <v>0</v>
      </c>
      <c r="J19" s="32"/>
    </row>
    <row r="20" spans="1:10" ht="15" customHeight="1">
      <c r="A20" s="127" t="s">
        <v>427</v>
      </c>
      <c r="B20" s="128"/>
      <c r="C20" s="51">
        <f>SUM('Stavební rozpočet'!AH12:AH208)</f>
        <v>0</v>
      </c>
      <c r="D20" s="125"/>
      <c r="E20" s="126"/>
      <c r="F20" s="52"/>
      <c r="G20" s="125"/>
      <c r="H20" s="126"/>
      <c r="I20" s="52"/>
      <c r="J20" s="32"/>
    </row>
    <row r="21" spans="1:10" ht="15" customHeight="1">
      <c r="A21" s="127" t="s">
        <v>544</v>
      </c>
      <c r="B21" s="128"/>
      <c r="C21" s="51">
        <f>SUM('Stavební rozpočet'!Z12:Z208)</f>
        <v>0</v>
      </c>
      <c r="D21" s="125"/>
      <c r="E21" s="126"/>
      <c r="F21" s="52"/>
      <c r="G21" s="125"/>
      <c r="H21" s="126"/>
      <c r="I21" s="52"/>
      <c r="J21" s="32"/>
    </row>
    <row r="22" spans="1:10" ht="16.5" customHeight="1">
      <c r="A22" s="127" t="s">
        <v>545</v>
      </c>
      <c r="B22" s="128"/>
      <c r="C22" s="51">
        <f>SUM(C14:C21)</f>
        <v>0</v>
      </c>
      <c r="D22" s="127" t="s">
        <v>559</v>
      </c>
      <c r="E22" s="128"/>
      <c r="F22" s="51">
        <f>SUM(F14:F21)</f>
        <v>0</v>
      </c>
      <c r="G22" s="127" t="s">
        <v>572</v>
      </c>
      <c r="H22" s="128"/>
      <c r="I22" s="51">
        <f>SUM(I14:I21)</f>
        <v>0</v>
      </c>
      <c r="J22" s="32"/>
    </row>
    <row r="23" spans="1:10" ht="15" customHeight="1">
      <c r="A23" s="8"/>
      <c r="B23" s="8"/>
      <c r="C23" s="49"/>
      <c r="D23" s="127" t="s">
        <v>560</v>
      </c>
      <c r="E23" s="128"/>
      <c r="F23" s="53">
        <v>0</v>
      </c>
      <c r="G23" s="127" t="s">
        <v>573</v>
      </c>
      <c r="H23" s="128"/>
      <c r="I23" s="51">
        <v>0</v>
      </c>
      <c r="J23" s="32"/>
    </row>
    <row r="24" spans="4:10" ht="15" customHeight="1">
      <c r="D24" s="8"/>
      <c r="E24" s="8"/>
      <c r="F24" s="54"/>
      <c r="G24" s="127" t="s">
        <v>574</v>
      </c>
      <c r="H24" s="128"/>
      <c r="I24" s="51">
        <v>0</v>
      </c>
      <c r="J24" s="32"/>
    </row>
    <row r="25" spans="6:10" ht="15" customHeight="1">
      <c r="F25" s="55"/>
      <c r="G25" s="127" t="s">
        <v>575</v>
      </c>
      <c r="H25" s="128"/>
      <c r="I25" s="51">
        <v>0</v>
      </c>
      <c r="J25" s="32"/>
    </row>
    <row r="26" spans="1:9" ht="12.75">
      <c r="A26" s="43"/>
      <c r="B26" s="43"/>
      <c r="C26" s="43"/>
      <c r="G26" s="8"/>
      <c r="H26" s="8"/>
      <c r="I26" s="8"/>
    </row>
    <row r="27" spans="1:9" ht="15" customHeight="1">
      <c r="A27" s="129" t="s">
        <v>546</v>
      </c>
      <c r="B27" s="130"/>
      <c r="C27" s="56">
        <f>SUM('Stavební rozpočet'!AJ12:AJ208)</f>
        <v>0</v>
      </c>
      <c r="D27" s="50"/>
      <c r="E27" s="43"/>
      <c r="F27" s="43"/>
      <c r="G27" s="43"/>
      <c r="H27" s="43"/>
      <c r="I27" s="43"/>
    </row>
    <row r="28" spans="1:10" ht="15" customHeight="1">
      <c r="A28" s="129" t="s">
        <v>547</v>
      </c>
      <c r="B28" s="130"/>
      <c r="C28" s="56">
        <f>SUM('Stavební rozpočet'!AK12:AK208)</f>
        <v>0</v>
      </c>
      <c r="D28" s="129" t="s">
        <v>561</v>
      </c>
      <c r="E28" s="130"/>
      <c r="F28" s="56">
        <f>ROUND(C28*(15/100),2)</f>
        <v>0</v>
      </c>
      <c r="G28" s="129" t="s">
        <v>576</v>
      </c>
      <c r="H28" s="130"/>
      <c r="I28" s="56">
        <f>SUM(C27:C29)</f>
        <v>0</v>
      </c>
      <c r="J28" s="32"/>
    </row>
    <row r="29" spans="1:10" ht="15" customHeight="1">
      <c r="A29" s="129" t="s">
        <v>548</v>
      </c>
      <c r="B29" s="130"/>
      <c r="C29" s="56">
        <f>SUM('Stavební rozpočet'!AL12:AL208)+(F22+I22+F23+I23+I24+I25)</f>
        <v>0</v>
      </c>
      <c r="D29" s="129" t="s">
        <v>562</v>
      </c>
      <c r="E29" s="130"/>
      <c r="F29" s="56">
        <f>ROUND(C29*(21/100),2)</f>
        <v>0</v>
      </c>
      <c r="G29" s="129" t="s">
        <v>577</v>
      </c>
      <c r="H29" s="130"/>
      <c r="I29" s="56">
        <f>SUM(F28:F29)+I28</f>
        <v>0</v>
      </c>
      <c r="J29" s="32"/>
    </row>
    <row r="30" spans="1:9" ht="12.75">
      <c r="A30" s="47"/>
      <c r="B30" s="47"/>
      <c r="C30" s="47"/>
      <c r="D30" s="47"/>
      <c r="E30" s="47"/>
      <c r="F30" s="47"/>
      <c r="G30" s="47"/>
      <c r="H30" s="47"/>
      <c r="I30" s="47"/>
    </row>
    <row r="31" spans="1:10" ht="14.25" customHeight="1">
      <c r="A31" s="131" t="s">
        <v>549</v>
      </c>
      <c r="B31" s="132"/>
      <c r="C31" s="133"/>
      <c r="D31" s="131" t="s">
        <v>563</v>
      </c>
      <c r="E31" s="132"/>
      <c r="F31" s="133"/>
      <c r="G31" s="131" t="s">
        <v>578</v>
      </c>
      <c r="H31" s="132"/>
      <c r="I31" s="133"/>
      <c r="J31" s="33"/>
    </row>
    <row r="32" spans="1:10" ht="14.25" customHeight="1">
      <c r="A32" s="134"/>
      <c r="B32" s="135"/>
      <c r="C32" s="136"/>
      <c r="D32" s="134"/>
      <c r="E32" s="135"/>
      <c r="F32" s="136"/>
      <c r="G32" s="134"/>
      <c r="H32" s="135"/>
      <c r="I32" s="136"/>
      <c r="J32" s="33"/>
    </row>
    <row r="33" spans="1:10" ht="14.25" customHeight="1">
      <c r="A33" s="134"/>
      <c r="B33" s="135"/>
      <c r="C33" s="136"/>
      <c r="D33" s="134"/>
      <c r="E33" s="135"/>
      <c r="F33" s="136"/>
      <c r="G33" s="134"/>
      <c r="H33" s="135"/>
      <c r="I33" s="136"/>
      <c r="J33" s="33"/>
    </row>
    <row r="34" spans="1:10" ht="14.25" customHeight="1">
      <c r="A34" s="134"/>
      <c r="B34" s="135"/>
      <c r="C34" s="136"/>
      <c r="D34" s="134"/>
      <c r="E34" s="135"/>
      <c r="F34" s="136"/>
      <c r="G34" s="134"/>
      <c r="H34" s="135"/>
      <c r="I34" s="136"/>
      <c r="J34" s="33"/>
    </row>
    <row r="35" spans="1:10" ht="14.25" customHeight="1">
      <c r="A35" s="137" t="s">
        <v>550</v>
      </c>
      <c r="B35" s="138"/>
      <c r="C35" s="139"/>
      <c r="D35" s="137" t="s">
        <v>550</v>
      </c>
      <c r="E35" s="138"/>
      <c r="F35" s="139"/>
      <c r="G35" s="137" t="s">
        <v>550</v>
      </c>
      <c r="H35" s="138"/>
      <c r="I35" s="139"/>
      <c r="J35" s="33"/>
    </row>
    <row r="36" spans="1:9" ht="11.25" customHeight="1">
      <c r="A36" s="42" t="s">
        <v>123</v>
      </c>
      <c r="B36" s="41"/>
      <c r="C36" s="41"/>
      <c r="D36" s="41"/>
      <c r="E36" s="41"/>
      <c r="F36" s="41"/>
      <c r="G36" s="41"/>
      <c r="H36" s="41"/>
      <c r="I36" s="41"/>
    </row>
    <row r="37" spans="1:9" ht="12.75">
      <c r="A37" s="74"/>
      <c r="B37" s="66"/>
      <c r="C37" s="66"/>
      <c r="D37" s="66"/>
      <c r="E37" s="66"/>
      <c r="F37" s="66"/>
      <c r="G37" s="66"/>
      <c r="H37" s="66"/>
      <c r="I37" s="66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Úbl DiS.</dc:creator>
  <cp:keywords/>
  <dc:description/>
  <cp:lastModifiedBy>Radek ÚBL DiS.</cp:lastModifiedBy>
  <dcterms:created xsi:type="dcterms:W3CDTF">2019-07-02T11:16:55Z</dcterms:created>
  <dcterms:modified xsi:type="dcterms:W3CDTF">2019-07-02T11:21:17Z</dcterms:modified>
  <cp:category/>
  <cp:version/>
  <cp:contentType/>
  <cp:contentStatus/>
</cp:coreProperties>
</file>